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U PC\Desktop\004-2023-TP SEMED - REFORMA E AMPLIAÇÃO ABEL FIGU\Portal\"/>
    </mc:Choice>
  </mc:AlternateContent>
  <xr:revisionPtr revIDLastSave="0" documentId="8_{846DA9C9-97FA-43E0-B2CD-289A5F5C6BBE}" xr6:coauthVersionLast="47" xr6:coauthVersionMax="47" xr10:uidLastSave="{00000000-0000-0000-0000-000000000000}"/>
  <bookViews>
    <workbookView xWindow="-120" yWindow="-120" windowWidth="21840" windowHeight="13140" tabRatio="500" activeTab="2" xr2:uid="{00000000-000D-0000-FFFF-FFFF00000000}"/>
  </bookViews>
  <sheets>
    <sheet name="PLANILHA ORÇAMENTÁRIA" sheetId="1" r:id="rId1"/>
    <sheet name="CRONOGRAMA " sheetId="2" r:id="rId2"/>
    <sheet name="BDI " sheetId="3" r:id="rId3"/>
    <sheet name="LS" sheetId="7" r:id="rId4"/>
  </sheets>
  <definedNames>
    <definedName name="_xlnm.Print_Area" localSheetId="2">'BDI '!$A$1:$C$40</definedName>
    <definedName name="_xlnm.Print_Area" localSheetId="1">'CRONOGRAMA '!$A$1:$I$38</definedName>
    <definedName name="_xlnm.Print_Area" localSheetId="0">'PLANILHA ORÇAMENTÁRIA'!$B$1:$K$120</definedName>
    <definedName name="_xlnm.Print_Titles" localSheetId="1">'CRONOGRAMA '!$7:$8</definedName>
    <definedName name="_xlnm.Print_Titles" localSheetId="0">'PLANILHA ORÇAMENTÁRIA'!$9:$9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1" l="1"/>
  <c r="G72" i="1"/>
  <c r="G111" i="1"/>
  <c r="J25" i="1"/>
  <c r="I26" i="1"/>
  <c r="J26" i="1" s="1"/>
  <c r="I25" i="1"/>
  <c r="I40" i="1"/>
  <c r="J40" i="1" s="1"/>
  <c r="I39" i="1"/>
  <c r="J39" i="1" s="1"/>
  <c r="I111" i="1"/>
  <c r="I107" i="1"/>
  <c r="J107" i="1" s="1"/>
  <c r="I108" i="1"/>
  <c r="J108" i="1" s="1"/>
  <c r="I109" i="1"/>
  <c r="J109" i="1" s="1"/>
  <c r="I106" i="1"/>
  <c r="J106" i="1" s="1"/>
  <c r="I103" i="1"/>
  <c r="J103" i="1" s="1"/>
  <c r="I104" i="1"/>
  <c r="J104" i="1" s="1"/>
  <c r="I100" i="1"/>
  <c r="J100" i="1" s="1"/>
  <c r="I101" i="1"/>
  <c r="J101" i="1" s="1"/>
  <c r="I99" i="1"/>
  <c r="J9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89" i="1"/>
  <c r="J89" i="1" s="1"/>
  <c r="I83" i="1"/>
  <c r="J83" i="1" s="1"/>
  <c r="I84" i="1"/>
  <c r="J84" i="1" s="1"/>
  <c r="I85" i="1"/>
  <c r="J85" i="1" s="1"/>
  <c r="I86" i="1"/>
  <c r="J86" i="1" s="1"/>
  <c r="I87" i="1"/>
  <c r="J87" i="1" s="1"/>
  <c r="I82" i="1"/>
  <c r="J82" i="1" s="1"/>
  <c r="I74" i="1"/>
  <c r="J74" i="1" s="1"/>
  <c r="J73" i="1" s="1"/>
  <c r="I76" i="1"/>
  <c r="J76" i="1" s="1"/>
  <c r="I77" i="1"/>
  <c r="J77" i="1" s="1"/>
  <c r="I78" i="1"/>
  <c r="J78" i="1" s="1"/>
  <c r="I79" i="1"/>
  <c r="J79" i="1" s="1"/>
  <c r="I80" i="1"/>
  <c r="J80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I53" i="1"/>
  <c r="I54" i="1"/>
  <c r="I55" i="1"/>
  <c r="I56" i="1"/>
  <c r="I57" i="1"/>
  <c r="I58" i="1"/>
  <c r="I59" i="1"/>
  <c r="I60" i="1"/>
  <c r="I61" i="1"/>
  <c r="I62" i="1"/>
  <c r="I64" i="1"/>
  <c r="J64" i="1" s="1"/>
  <c r="I65" i="1"/>
  <c r="I51" i="1"/>
  <c r="I52" i="1"/>
  <c r="J111" i="1" l="1"/>
  <c r="J110" i="1" s="1"/>
  <c r="C23" i="2" s="1"/>
  <c r="I24" i="2" s="1"/>
  <c r="J65" i="1"/>
  <c r="J63" i="1" s="1"/>
  <c r="J72" i="1"/>
  <c r="J66" i="1"/>
  <c r="J81" i="1"/>
  <c r="J98" i="1"/>
  <c r="C17" i="2" s="1"/>
  <c r="G18" i="2" s="1"/>
  <c r="J38" i="1"/>
  <c r="J75" i="1"/>
  <c r="J105" i="1"/>
  <c r="C21" i="2" s="1"/>
  <c r="H22" i="2" s="1"/>
  <c r="J88" i="1"/>
  <c r="J102" i="1"/>
  <c r="C19" i="2" s="1"/>
  <c r="I20" i="2" s="1"/>
  <c r="J51" i="1"/>
  <c r="J52" i="1"/>
  <c r="J53" i="1"/>
  <c r="J54" i="1"/>
  <c r="J55" i="1"/>
  <c r="J56" i="1"/>
  <c r="J57" i="1"/>
  <c r="J58" i="1"/>
  <c r="J59" i="1"/>
  <c r="J60" i="1"/>
  <c r="J61" i="1"/>
  <c r="J62" i="1"/>
  <c r="J24" i="1"/>
  <c r="C13" i="2" s="1"/>
  <c r="D14" i="2" s="1"/>
  <c r="I49" i="1"/>
  <c r="J49" i="1" s="1"/>
  <c r="I48" i="1"/>
  <c r="J48" i="1" s="1"/>
  <c r="I47" i="1"/>
  <c r="J47" i="1" s="1"/>
  <c r="I46" i="1"/>
  <c r="J46" i="1" s="1"/>
  <c r="I42" i="1"/>
  <c r="J42" i="1" s="1"/>
  <c r="I43" i="1"/>
  <c r="J43" i="1" s="1"/>
  <c r="I44" i="1"/>
  <c r="J44" i="1" s="1"/>
  <c r="I45" i="1"/>
  <c r="J45" i="1" s="1"/>
  <c r="G35" i="1"/>
  <c r="I34" i="1"/>
  <c r="J34" i="1" s="1"/>
  <c r="I36" i="1"/>
  <c r="J36" i="1" s="1"/>
  <c r="I37" i="1"/>
  <c r="J37" i="1" s="1"/>
  <c r="I35" i="1"/>
  <c r="J35" i="1" s="1"/>
  <c r="H18" i="2" l="1"/>
  <c r="J33" i="1"/>
  <c r="E14" i="2"/>
  <c r="J41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15" i="1"/>
  <c r="J15" i="1" s="1"/>
  <c r="J12" i="1"/>
  <c r="J13" i="1"/>
  <c r="I11" i="1"/>
  <c r="J11" i="1" s="1"/>
  <c r="I12" i="1"/>
  <c r="I13" i="1"/>
  <c r="I30" i="1"/>
  <c r="J30" i="1" s="1"/>
  <c r="I31" i="1"/>
  <c r="J31" i="1" s="1"/>
  <c r="I32" i="1"/>
  <c r="J32" i="1" s="1"/>
  <c r="I29" i="1"/>
  <c r="J29" i="1" s="1"/>
  <c r="J10" i="1" l="1"/>
  <c r="J28" i="1"/>
  <c r="J27" i="1" s="1"/>
  <c r="J14" i="1"/>
  <c r="C11" i="2" s="1"/>
  <c r="C9" i="2"/>
  <c r="D41" i="7"/>
  <c r="C41" i="7"/>
  <c r="D37" i="7"/>
  <c r="C37" i="7"/>
  <c r="D30" i="7"/>
  <c r="C30" i="7"/>
  <c r="D18" i="7"/>
  <c r="D42" i="7" s="1"/>
  <c r="C18" i="7"/>
  <c r="I115" i="1" l="1"/>
  <c r="I114" i="1" s="1"/>
  <c r="I113" i="1" s="1"/>
  <c r="E12" i="2"/>
  <c r="D12" i="2"/>
  <c r="C15" i="2"/>
  <c r="C25" i="2" s="1"/>
  <c r="K45" i="1"/>
  <c r="K44" i="1"/>
  <c r="D10" i="2"/>
  <c r="C42" i="7"/>
  <c r="C23" i="3"/>
  <c r="C24" i="3" s="1"/>
  <c r="C20" i="3"/>
  <c r="C21" i="3" s="1"/>
  <c r="C17" i="3"/>
  <c r="C16" i="3"/>
  <c r="C15" i="3"/>
  <c r="C26" i="3" s="1"/>
  <c r="C10" i="3"/>
  <c r="C9" i="3"/>
  <c r="C8" i="3"/>
  <c r="F16" i="2" l="1"/>
  <c r="F26" i="2" s="1"/>
  <c r="I16" i="2"/>
  <c r="I26" i="2" s="1"/>
  <c r="G16" i="2"/>
  <c r="G26" i="2" s="1"/>
  <c r="D16" i="2"/>
  <c r="D26" i="2" s="1"/>
  <c r="D28" i="2" s="1"/>
  <c r="E16" i="2"/>
  <c r="E26" i="2" s="1"/>
  <c r="H16" i="2"/>
  <c r="H26" i="2" s="1"/>
  <c r="K41" i="1"/>
  <c r="C18" i="3"/>
  <c r="C11" i="3"/>
  <c r="E28" i="2" l="1"/>
  <c r="F28" i="2" s="1"/>
  <c r="G28" i="2" s="1"/>
  <c r="H28" i="2" s="1"/>
  <c r="I28" i="2" s="1"/>
</calcChain>
</file>

<file path=xl/sharedStrings.xml><?xml version="1.0" encoding="utf-8"?>
<sst xmlns="http://schemas.openxmlformats.org/spreadsheetml/2006/main" count="654" uniqueCount="430">
  <si>
    <t>ELEVAÇÃO</t>
  </si>
  <si>
    <t>UN</t>
  </si>
  <si>
    <t>COBERTURA</t>
  </si>
  <si>
    <t>M</t>
  </si>
  <si>
    <t>PAVIMENTAÇÃO</t>
  </si>
  <si>
    <t>ESQUADRIAS</t>
  </si>
  <si>
    <t>LOUÇAS E METAIS</t>
  </si>
  <si>
    <t>PT</t>
  </si>
  <si>
    <t>SUPERESTRUTURA</t>
  </si>
  <si>
    <t>PLANILHA ORÇAMENTÁRIA</t>
  </si>
  <si>
    <t>HORISTA:</t>
  </si>
  <si>
    <t>MENSALISTA:</t>
  </si>
  <si>
    <t>BDI:</t>
  </si>
  <si>
    <t>Itens de valor percentual fixo e obrigatório</t>
  </si>
  <si>
    <t>% Sobre PV</t>
  </si>
  <si>
    <t>CP- PIS e CONFINS</t>
  </si>
  <si>
    <t>3,65% de PV</t>
  </si>
  <si>
    <t>ISS - Tributos varáveis de acordo com o Município</t>
  </si>
  <si>
    <t>2,00% a 5% de PV</t>
  </si>
  <si>
    <t>CPRB - Contribuição Previdenciária Sobre Receitas Indiretas - ART's, Encargos Sociais Plenos (alimentação, EPI's, estadias, hotéis, etc.)</t>
  </si>
  <si>
    <t>4,5% de PV</t>
  </si>
  <si>
    <t>Total Parcial</t>
  </si>
  <si>
    <t>Itens de valor percentual variável com o tipo da obra ou serviço</t>
  </si>
  <si>
    <t>% Sobre CD</t>
  </si>
  <si>
    <t>AC - Administração Central (escritório, estrutura física, telefone, secretarias, etc.)</t>
  </si>
  <si>
    <t>4,25% do CD</t>
  </si>
  <si>
    <t>R - Riscos</t>
  </si>
  <si>
    <t>0,5% do CD</t>
  </si>
  <si>
    <t>SG - Seguros e Garantias</t>
  </si>
  <si>
    <t>0,4% do CD</t>
  </si>
  <si>
    <t>DF - Despesas Indiretas - ART's, Encargos Sociais Plenos (alimentação, EPI's, estadias, hotéis, etc.)</t>
  </si>
  <si>
    <t>1,02% do CD</t>
  </si>
  <si>
    <t>L - Lucro</t>
  </si>
  <si>
    <t>6,7% do CD</t>
  </si>
  <si>
    <t>BDI =</t>
  </si>
  <si>
    <t>R$</t>
  </si>
  <si>
    <t>CRONOGRAMA - FÍSICO FINANCEIRO</t>
  </si>
  <si>
    <t xml:space="preserve">DESCRIMINAÇÃO DOS SERVIÇOS </t>
  </si>
  <si>
    <t>ÍTEM</t>
  </si>
  <si>
    <t>MÊS 1</t>
  </si>
  <si>
    <t>MÊS 2</t>
  </si>
  <si>
    <t>MÊS 3</t>
  </si>
  <si>
    <t>MÊS 4</t>
  </si>
  <si>
    <t>MÊS 5</t>
  </si>
  <si>
    <t>MÊS 6</t>
  </si>
  <si>
    <t>Estado do Pará</t>
  </si>
  <si>
    <t>CÓDIGO</t>
  </si>
  <si>
    <t>Item</t>
  </si>
  <si>
    <t>Código</t>
  </si>
  <si>
    <t>Banco</t>
  </si>
  <si>
    <t>Descrição</t>
  </si>
  <si>
    <t>Und</t>
  </si>
  <si>
    <t>Quant.</t>
  </si>
  <si>
    <t>Valor Unit com BDI</t>
  </si>
  <si>
    <t>Peso (%)</t>
  </si>
  <si>
    <t xml:space="preserve"> 1 </t>
  </si>
  <si>
    <t>SERVIÇOS INICIAIS</t>
  </si>
  <si>
    <t>SEDOP</t>
  </si>
  <si>
    <t>m²</t>
  </si>
  <si>
    <t xml:space="preserve"> 011340 </t>
  </si>
  <si>
    <t>Placa de obra em lona com plotagem de gráfica</t>
  </si>
  <si>
    <t xml:space="preserve"> 010767 </t>
  </si>
  <si>
    <t>Barracão de madeira (incl. instalações)</t>
  </si>
  <si>
    <t xml:space="preserve"> 2 </t>
  </si>
  <si>
    <t>DEMOLIÇÕES E REMOÇÕES</t>
  </si>
  <si>
    <t xml:space="preserve"> 2.1 </t>
  </si>
  <si>
    <t xml:space="preserve"> 020018 </t>
  </si>
  <si>
    <t>Demolição manual de concreto simples</t>
  </si>
  <si>
    <t>m³</t>
  </si>
  <si>
    <t xml:space="preserve"> 2.2 </t>
  </si>
  <si>
    <t xml:space="preserve"> 020016 </t>
  </si>
  <si>
    <t>Demolição manual de alvenaria de tijolo</t>
  </si>
  <si>
    <t xml:space="preserve"> 2.3 </t>
  </si>
  <si>
    <t xml:space="preserve"> 021528 </t>
  </si>
  <si>
    <t>Retirada de esquadria metálica</t>
  </si>
  <si>
    <t xml:space="preserve"> 2.4 </t>
  </si>
  <si>
    <t xml:space="preserve"> 020847 </t>
  </si>
  <si>
    <t>Retirada de caixa de ar condicionado</t>
  </si>
  <si>
    <t xml:space="preserve"> 2.5 </t>
  </si>
  <si>
    <t xml:space="preserve"> 020014 </t>
  </si>
  <si>
    <t>Retirada de esquadria sem aproveitamento</t>
  </si>
  <si>
    <t xml:space="preserve"> 2.6 </t>
  </si>
  <si>
    <t xml:space="preserve"> 021534 </t>
  </si>
  <si>
    <t>Retirada de forro em PVC, incl. barroteamento</t>
  </si>
  <si>
    <t xml:space="preserve"> 2.7 </t>
  </si>
  <si>
    <t xml:space="preserve"> 020855 </t>
  </si>
  <si>
    <t>Retirada de luminárias</t>
  </si>
  <si>
    <t xml:space="preserve"> 2.8 </t>
  </si>
  <si>
    <t xml:space="preserve"> 020857 </t>
  </si>
  <si>
    <t>Retirada de ponto elétrico</t>
  </si>
  <si>
    <t xml:space="preserve"> 2.9 </t>
  </si>
  <si>
    <t xml:space="preserve"> 020024 </t>
  </si>
  <si>
    <t>Retirada de telhas fibrocimento sem aproveitamento</t>
  </si>
  <si>
    <t xml:space="preserve"> 3 </t>
  </si>
  <si>
    <t>MOVIMENTO DE TERRA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</si>
  <si>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</si>
  <si>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</si>
  <si>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</si>
  <si>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</si>
  <si>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030010 </t>
  </si>
  <si>
    <t>Escavação manual ate 1.50m de profundidade</t>
  </si>
  <si>
    <t xml:space="preserve"> 4 </t>
  </si>
  <si>
    <t xml:space="preserve"> 4.1 </t>
  </si>
  <si>
    <t>INFRAESTRUTURA</t>
  </si>
  <si>
    <t xml:space="preserve"> 4.1.1 </t>
  </si>
  <si>
    <t xml:space="preserve"> 000261 </t>
  </si>
  <si>
    <t xml:space="preserve"> 4.1.2 </t>
  </si>
  <si>
    <t xml:space="preserve"> 040283 </t>
  </si>
  <si>
    <t>Bloco em concreto armado p/ fundaçao (incl. forma)</t>
  </si>
  <si>
    <t xml:space="preserve"> 4.1.3 </t>
  </si>
  <si>
    <t xml:space="preserve"> 030017 </t>
  </si>
  <si>
    <t xml:space="preserve"> 4.1.4 </t>
  </si>
  <si>
    <t xml:space="preserve"> 10023 </t>
  </si>
  <si>
    <t>ORSE</t>
  </si>
  <si>
    <t>Impermeabilização - Aplicação de 1 demão de primer para colagem de manta asfáltica (exclusive a manta asfaltica)</t>
  </si>
  <si>
    <t xml:space="preserve"> 4.2 </t>
  </si>
  <si>
    <t xml:space="preserve"> 4.2.1 </t>
  </si>
  <si>
    <t xml:space="preserve"> 050766 </t>
  </si>
  <si>
    <t>Concreto armado fck=25MPA c/ forma mad. branca (incl. lançamento e adensamento)</t>
  </si>
  <si>
    <t xml:space="preserve"> 4.2.2 </t>
  </si>
  <si>
    <t xml:space="preserve"> 4.2.3 </t>
  </si>
  <si>
    <t xml:space="preserve"> 050771 </t>
  </si>
  <si>
    <t>Laje pré-moldada treliçada (Incl. capiamento)</t>
  </si>
  <si>
    <t xml:space="preserve"> 4.2.4 </t>
  </si>
  <si>
    <t xml:space="preserve"> 080151 </t>
  </si>
  <si>
    <t>Impermeabilização de lajes e calhas</t>
  </si>
  <si>
    <t xml:space="preserve"> 4.3 </t>
  </si>
  <si>
    <t xml:space="preserve"> 4.3.1 </t>
  </si>
  <si>
    <t xml:space="preserve"> 060046 </t>
  </si>
  <si>
    <t>Alvenaria tijolo de barro a cutelo</t>
  </si>
  <si>
    <t xml:space="preserve"> 4.3.2 </t>
  </si>
  <si>
    <t xml:space="preserve"> 060813 </t>
  </si>
  <si>
    <t>Divisória em granito cinza - incl. ferrag. de fixação</t>
  </si>
  <si>
    <t xml:space="preserve"> 4.4 </t>
  </si>
  <si>
    <t>ESGOTO</t>
  </si>
  <si>
    <t xml:space="preserve"> 4.4.1 </t>
  </si>
  <si>
    <t xml:space="preserve"> 180214 </t>
  </si>
  <si>
    <t>Ponto de esgoto (incl. tubos, conexoes,cx. e ralos)</t>
  </si>
  <si>
    <t xml:space="preserve"> 181296 </t>
  </si>
  <si>
    <t>Caixa de inspeção em PVC d=300mm</t>
  </si>
  <si>
    <t xml:space="preserve"> 4.5 </t>
  </si>
  <si>
    <t>ÁGUA FRIA</t>
  </si>
  <si>
    <t xml:space="preserve"> 4.5.1 </t>
  </si>
  <si>
    <t xml:space="preserve"> 180299 </t>
  </si>
  <si>
    <t>Ponto de agua (incl. tubos e conexoes)</t>
  </si>
  <si>
    <t xml:space="preserve"> 4.5.2 </t>
  </si>
  <si>
    <t xml:space="preserve"> 4.5.3 </t>
  </si>
  <si>
    <t>AGUA FRIA-TUBO PVC SOLDAVEL 40mm</t>
  </si>
  <si>
    <t xml:space="preserve"> 4.5.4 </t>
  </si>
  <si>
    <t>AGUA FRIA-TUBO SOLDAVEL DE PVC 50mm</t>
  </si>
  <si>
    <t xml:space="preserve"> 4.5.5 </t>
  </si>
  <si>
    <t xml:space="preserve"> 1226 </t>
  </si>
  <si>
    <t>Adaptador de pvc rígido roscável com flanges para caixa d</t>
  </si>
  <si>
    <t>un</t>
  </si>
  <si>
    <t xml:space="preserve"> 4.5.6 </t>
  </si>
  <si>
    <t>ADAPTADOR COM ROSCA E FLANGES PVC DIAM. 1.1/2""</t>
  </si>
  <si>
    <t xml:space="preserve"> 4.5.7 </t>
  </si>
  <si>
    <t xml:space="preserve"> 170076 </t>
  </si>
  <si>
    <t>Eletroduto PVC Rígido de 3/4"</t>
  </si>
  <si>
    <t xml:space="preserve"> 4.5.8 </t>
  </si>
  <si>
    <t xml:space="preserve"> 180232 </t>
  </si>
  <si>
    <t>Bucha de redução JS - 50mm x 40mm (LH)</t>
  </si>
  <si>
    <t xml:space="preserve"> 4.5.9 </t>
  </si>
  <si>
    <t xml:space="preserve"> 180231 </t>
  </si>
  <si>
    <t>Bucha de redução JS - 40mm x 32mm (LH)</t>
  </si>
  <si>
    <t xml:space="preserve"> 4.5.10 </t>
  </si>
  <si>
    <t xml:space="preserve"> 180230 </t>
  </si>
  <si>
    <t>Bucha de redução JS - 32mm x 25mm (LH)</t>
  </si>
  <si>
    <t xml:space="preserve"> 4.5.11 </t>
  </si>
  <si>
    <t xml:space="preserve"> 181513 </t>
  </si>
  <si>
    <t>Bucha de redução JS 25x20mm (LH)</t>
  </si>
  <si>
    <t xml:space="preserve"> 4.5.12 </t>
  </si>
  <si>
    <t xml:space="preserve"> 4.6 </t>
  </si>
  <si>
    <t xml:space="preserve"> 4.6.1 </t>
  </si>
  <si>
    <t xml:space="preserve"> 87622 </t>
  </si>
  <si>
    <t>SINAPI</t>
  </si>
  <si>
    <t>CONTRAPISO EM ARGAMASSA TRAÇO 1:4 (CIMENTO E AREIA), PREPARO MANUAL, APLICADO EM ÁREAS SECAS SOBRE LAJE, ADERIDO, ACABAMENTO NÃO REFORÇADO, ESPESSURA 2CM. AF_07/2021</t>
  </si>
  <si>
    <t xml:space="preserve"> 4.6.2 </t>
  </si>
  <si>
    <t xml:space="preserve"> 104162 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</si>
  <si>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</si>
  <si>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 xml:space="preserve"> 4.7 </t>
  </si>
  <si>
    <t xml:space="preserve"> 4.7.1 </t>
  </si>
  <si>
    <t xml:space="preserve"> 110762 </t>
  </si>
  <si>
    <t>Emboço com argamassa 1:6:Adit. Plast.</t>
  </si>
  <si>
    <t xml:space="preserve"> 4.7.2 </t>
  </si>
  <si>
    <t xml:space="preserve"> 111293 </t>
  </si>
  <si>
    <t>Reboco c/ argamassa 1:6 adit. plast. (teto)</t>
  </si>
  <si>
    <t xml:space="preserve"> 4.7.3 </t>
  </si>
  <si>
    <t xml:space="preserve"> 110143 </t>
  </si>
  <si>
    <t>Chapisco de cimento e areia no traço 1:3</t>
  </si>
  <si>
    <t xml:space="preserve"> 4.7.4 </t>
  </si>
  <si>
    <t xml:space="preserve"> 87274 </t>
  </si>
  <si>
    <t>REVESTIMENTO CERÂMICO PARA PAREDES INTERNAS COM PLACAS TIPO ESMALTADA EXTRA DE DIMENSÕES 33X45 CM APLICADAS EM AMBIENTES DE ÁREA MENOR QUE 5 M² A MEIA ALTURA DAS PAREDES. AF_06/2014</t>
  </si>
  <si>
    <t xml:space="preserve"> 4.7.5 </t>
  </si>
  <si>
    <t xml:space="preserve"> 151285 </t>
  </si>
  <si>
    <t>Latex acrílica acetinada c/ massa e selador - interna e externa</t>
  </si>
  <si>
    <t xml:space="preserve"> 4.7.6 </t>
  </si>
  <si>
    <t>APLICAÇÃO MANUAL DE PINTURA COM TINTA TEXTURIZADA ACRÍLICA EM SUPERFÍCIES INTERNAS DA SACADA DE EDIFÍCIOS DE MÚLTIPLOS PAVIMENTOS, DUAS CORES. AF_06/2014</t>
  </si>
  <si>
    <t xml:space="preserve"> 4.8 </t>
  </si>
  <si>
    <t>FORRO</t>
  </si>
  <si>
    <t xml:space="preserve"> 4.8.1 </t>
  </si>
  <si>
    <t xml:space="preserve"> 141336 </t>
  </si>
  <si>
    <t>Forro em lambri de PVC</t>
  </si>
  <si>
    <t xml:space="preserve"> 4.9 </t>
  </si>
  <si>
    <t xml:space="preserve"> 4.9.1 </t>
  </si>
  <si>
    <t xml:space="preserve"> 090400 </t>
  </si>
  <si>
    <t>Grade de ferro 5/8" (incl. pint. anti-corrosiva)</t>
  </si>
  <si>
    <t xml:space="preserve"> 4.9.2 </t>
  </si>
  <si>
    <t xml:space="preserve"> 241470 </t>
  </si>
  <si>
    <t>Guarda-corpo em tubo de aço galvanizado 1 1/2"</t>
  </si>
  <si>
    <t xml:space="preserve"> 4.9.3 </t>
  </si>
  <si>
    <t xml:space="preserve"> 11942 </t>
  </si>
  <si>
    <t>Janela em alumínio, cor N/P/B, tipo veneziana, de correr, 1F+1M</t>
  </si>
  <si>
    <t xml:space="preserve"> 4.9.4 </t>
  </si>
  <si>
    <t xml:space="preserve"> 1838 </t>
  </si>
  <si>
    <t>Porta em aluminio, cor N/P/B, tipo pantográfica, inclusive fechadura</t>
  </si>
  <si>
    <t xml:space="preserve"> 4.9.5 </t>
  </si>
  <si>
    <t xml:space="preserve"> 7165 </t>
  </si>
  <si>
    <t>Porta em madeira compensada (canela), lisa, semi-ôca, 0.90 x 2.10 m, para sanitário de deficiente físico (inclusive batente, ferragens, fechadura, suporte e chapa de alumínio e=1mm) - Rev 03</t>
  </si>
  <si>
    <t xml:space="preserve"> 4.10 </t>
  </si>
  <si>
    <t xml:space="preserve"> 4.10.1 </t>
  </si>
  <si>
    <t xml:space="preserve"> 12267 </t>
  </si>
  <si>
    <t>Pia de cozinha com bancada em granito cinza andorinha, e = 2cm, dim 2.00x0.60, com 01 cuba de aço inox, sifão cromado, válvula cromada, torneira em aço inox, inclusive rodopia 7 cm, assentada.</t>
  </si>
  <si>
    <t xml:space="preserve"> 4.10.2 </t>
  </si>
  <si>
    <t xml:space="preserve"> 190401 </t>
  </si>
  <si>
    <t>Mictorio individual em louça c/ acessorios</t>
  </si>
  <si>
    <t xml:space="preserve"> 4.10.3 </t>
  </si>
  <si>
    <t xml:space="preserve"> 2107 </t>
  </si>
  <si>
    <t>Pia de cozinha com bancada em aço inox, dim 2,00x0,60m, com 01 cuba, sifão cromado, válvula cromada, torneira cromada, concretada e assentada</t>
  </si>
  <si>
    <t xml:space="preserve"> 4.10.4 </t>
  </si>
  <si>
    <t xml:space="preserve"> 7608 </t>
  </si>
  <si>
    <t>Vaso sanitário convencional, INCEPA, linha eros, ref. 19300 ou similar, incl. assento INCEPA, linha eros, ref. 19987 ou similar conjunto de fixação e engate plástico, exceto cx.descarga</t>
  </si>
  <si>
    <t xml:space="preserve"> 4.10.5 </t>
  </si>
  <si>
    <t xml:space="preserve"> 13109 </t>
  </si>
  <si>
    <t>Barra de apoio, reta, fixa, em aço inox,  l=30cm, d=1 1/4", Jackwal ou similar</t>
  </si>
  <si>
    <t xml:space="preserve"> 4.10.6 </t>
  </si>
  <si>
    <t xml:space="preserve"> 190529 </t>
  </si>
  <si>
    <t>Bebedouro aço inox c/3 torneiras e filtro (det.5)</t>
  </si>
  <si>
    <t xml:space="preserve"> 4.11 </t>
  </si>
  <si>
    <t>ELÉTRICO</t>
  </si>
  <si>
    <t xml:space="preserve"> 4.11.1 </t>
  </si>
  <si>
    <t xml:space="preserve"> 170081 </t>
  </si>
  <si>
    <t>Ponto de luz / força (c/tubul., cx. e fiaçao) ate 200W</t>
  </si>
  <si>
    <t xml:space="preserve"> 6386 </t>
  </si>
  <si>
    <t>*Caixa de passagem cp1-060 (40x40x60cm)</t>
  </si>
  <si>
    <t xml:space="preserve"> 777 </t>
  </si>
  <si>
    <t>Caixa octogonal 4" x 4", em pvc, p/ ponto de luz embutido</t>
  </si>
  <si>
    <t xml:space="preserve"> 360 </t>
  </si>
  <si>
    <t>Eletroduto de pvc rígido roscável, diâm = 110mm (4")</t>
  </si>
  <si>
    <t>m</t>
  </si>
  <si>
    <t xml:space="preserve"> 4277 </t>
  </si>
  <si>
    <t>Eletroduto flexível de pvc (sanfonado), diâm = 20mm (1/2")</t>
  </si>
  <si>
    <t xml:space="preserve"> 8324 </t>
  </si>
  <si>
    <t>Plafon E-27</t>
  </si>
  <si>
    <t xml:space="preserve"> 10919 </t>
  </si>
  <si>
    <t>Arandela de uso interno, em alumínio, com difusor em vidro fosco, branca ou preta, ref. AD-104, da Aladin ou similar - Rev 01_05/2022</t>
  </si>
  <si>
    <t xml:space="preserve"> 3401 </t>
  </si>
  <si>
    <t>Interruptor 01 seção simples</t>
  </si>
  <si>
    <t xml:space="preserve"> 8077 </t>
  </si>
  <si>
    <t>Disjuntor bipolar DR 40 A  - Dispositivo residual diferencial, tipo AC, 30MA, ref.5SM1 314-OMB, Siemens ou similar</t>
  </si>
  <si>
    <t xml:space="preserve"> 071498 </t>
  </si>
  <si>
    <t>Cobertura - Telha de fibrocimento e=4mm</t>
  </si>
  <si>
    <t xml:space="preserve"> 070054 </t>
  </si>
  <si>
    <t>Estrutura em mad.p/ chapa fibrocimento - pc. serrada</t>
  </si>
  <si>
    <t>Manta para sub cobertura e= 1.1mm</t>
  </si>
  <si>
    <t>PAISAGISMO</t>
  </si>
  <si>
    <t xml:space="preserve"> 2404 </t>
  </si>
  <si>
    <t>Árvore porte pequeno (mulungú) - plantada</t>
  </si>
  <si>
    <t xml:space="preserve"> 2397 </t>
  </si>
  <si>
    <t>Fornecimento e plantio de arbustos ornamentais</t>
  </si>
  <si>
    <t>COMBATE A INCÊNDIO</t>
  </si>
  <si>
    <t xml:space="preserve"> 200635 </t>
  </si>
  <si>
    <t>Caixa de incendio c/ mangueira e acessorios</t>
  </si>
  <si>
    <t xml:space="preserve"> 201509 </t>
  </si>
  <si>
    <t>Extintor de incêndio ABC - 12Kg</t>
  </si>
  <si>
    <t xml:space="preserve"> 10446 </t>
  </si>
  <si>
    <t>Avisador sonoro tipo sirene para incêndio - Fornecimento</t>
  </si>
  <si>
    <t xml:space="preserve"> 12891 </t>
  </si>
  <si>
    <t>Placa de sinalizacao, fotoluminescente, em pvc , com logotipo "Extintor de incêndio portátil com rodas" -  Placa E11</t>
  </si>
  <si>
    <t>SERVIÇOS FINAIS</t>
  </si>
  <si>
    <t>Limpeza geral e entrega da obra</t>
  </si>
  <si>
    <t>Total sem BDI</t>
  </si>
  <si>
    <t>Total do BDI</t>
  </si>
  <si>
    <t>Total Geral</t>
  </si>
  <si>
    <t/>
  </si>
  <si>
    <t>PAVIMENTO TÉRREO E SUPERIOR</t>
  </si>
  <si>
    <t>Porcentagem</t>
  </si>
  <si>
    <t>6,88%</t>
  </si>
  <si>
    <t>23,25%</t>
  </si>
  <si>
    <t>21,1%</t>
  </si>
  <si>
    <t>23,94%</t>
  </si>
  <si>
    <t>24,32%</t>
  </si>
  <si>
    <t>0,51%</t>
  </si>
  <si>
    <t>Custo</t>
  </si>
  <si>
    <t>Porcentagem Acumulado</t>
  </si>
  <si>
    <t>30,13%</t>
  </si>
  <si>
    <t>51,23%</t>
  </si>
  <si>
    <t>75,16%</t>
  </si>
  <si>
    <t>99,49%</t>
  </si>
  <si>
    <t>100,0%</t>
  </si>
  <si>
    <t>Custo Acumulado</t>
  </si>
  <si>
    <t>Tubo em PVC - 100mm (LS)</t>
  </si>
  <si>
    <t>Tubo em PVC - 40mm (LS)</t>
  </si>
  <si>
    <t>Tubo em PVC - 50mm (LS)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</si>
  <si>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</si>
  <si>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</si>
  <si>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</si>
  <si>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</si>
  <si>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</si>
  <si>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</si>
  <si>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</si>
  <si>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</si>
  <si>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</si>
  <si>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</si>
  <si>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</si>
  <si>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</si>
  <si>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</si>
  <si>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</si>
  <si>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</si>
  <si>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</si>
  <si>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</si>
  <si>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</si>
  <si>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</si>
  <si>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</si>
  <si>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</si>
  <si>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</si>
  <si>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</si>
  <si>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</si>
  <si>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</si>
  <si>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</si>
  <si>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</si>
  <si>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</si>
  <si>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</si>
  <si>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</si>
  <si>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</si>
  <si>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</si>
  <si>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</si>
  <si>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</si>
  <si>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</si>
  <si>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</si>
  <si>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</si>
  <si>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</si>
  <si>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</si>
  <si>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</si>
  <si>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</si>
  <si>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</si>
  <si>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</si>
  <si>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</si>
  <si>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</si>
  <si>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</si>
  <si>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</si>
  <si>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</si>
  <si>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</si>
  <si>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</si>
  <si>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</si>
  <si>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</si>
  <si>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</si>
  <si>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</si>
  <si>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</si>
  <si>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</si>
  <si>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</si>
  <si>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</si>
  <si>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</si>
  <si>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</si>
  <si>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</si>
  <si>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</si>
  <si>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</si>
  <si>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</si>
  <si>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</si>
  <si>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</si>
  <si>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</si>
  <si>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</si>
  <si>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</si>
  <si>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Tubo em PVC - 75mm (LS)</t>
  </si>
  <si>
    <t>ENCARGOS SOCIAIS:</t>
  </si>
  <si>
    <t>Secretaria Municipal de Educação</t>
  </si>
  <si>
    <t>Total com BDI</t>
  </si>
  <si>
    <t>Valor Unit sem BDI</t>
  </si>
  <si>
    <r>
      <t xml:space="preserve">OBRA : </t>
    </r>
    <r>
      <rPr>
        <b/>
        <i/>
        <sz val="18"/>
        <color rgb="FF000000"/>
        <rFont val="Arial"/>
        <family val="2"/>
      </rPr>
      <t>REFORMA  E AMPLIAÇÃO DA ESCOLA ABEL NUNES DE FIGUEIREDO NA CIDADE DE PORTEL-PA.</t>
    </r>
  </si>
  <si>
    <t xml:space="preserve"> Locação planimetrica de linha </t>
  </si>
  <si>
    <t xml:space="preserve">Furo de sondagem - até 15m </t>
  </si>
  <si>
    <t>03473</t>
  </si>
  <si>
    <t xml:space="preserve">	Escoramento em madeira p/ edificações c/ vigas e lajes maciças, 02 usos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</si>
  <si>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</si>
  <si>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</si>
  <si>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</si>
  <si>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</si>
  <si>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</si>
  <si>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</si>
  <si>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</si>
  <si>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>Caixa em alvenaria de 40x40x50cm c/ tpo. Concreto</t>
  </si>
  <si>
    <t>Caixa de gordura 50x50x50cm c/ tpo. Concreto</t>
  </si>
  <si>
    <t>Registro de gaveta de 1.1/2""</t>
  </si>
  <si>
    <t>5.1</t>
  </si>
  <si>
    <t>5.2</t>
  </si>
  <si>
    <t>5.3</t>
  </si>
  <si>
    <t>6.1</t>
  </si>
  <si>
    <t>6.2</t>
  </si>
  <si>
    <t>7.1</t>
  </si>
  <si>
    <t>7.2</t>
  </si>
  <si>
    <t>7.3</t>
  </si>
  <si>
    <t>7.4</t>
  </si>
  <si>
    <t>8.1</t>
  </si>
  <si>
    <t>Tubo em PVC - JS - 20mm (c/ rasgo na alvenaria)-LH</t>
  </si>
  <si>
    <t>OBRA : REFORMA  E AMPLIAÇÃO DA ESCOLA ABEL NUNES DE FIGUEIREDO NA CIDADE DE PORTEL-PA.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</si>
  <si>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</si>
  <si>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</si>
  <si>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</si>
  <si>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</si>
  <si>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</si>
  <si>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</si>
  <si>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</si>
  <si>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Prefeitura Municipal de Portel</t>
  </si>
  <si>
    <t>Responsável Técnico</t>
  </si>
  <si>
    <t>Heliogabolo Servet Costa Rolim</t>
  </si>
  <si>
    <t>CREA 12605 D/PA</t>
  </si>
  <si>
    <t>BONIFICAÇÃO DE DESPESAS INDIRETAS-BDI</t>
  </si>
  <si>
    <t>1.1</t>
  </si>
  <si>
    <t>1.2</t>
  </si>
  <si>
    <t>1.3</t>
  </si>
  <si>
    <t>REVESTIMENTO E PINTURA</t>
  </si>
  <si>
    <t>73881/001</t>
  </si>
  <si>
    <t xml:space="preserve"> 4.11.2</t>
  </si>
  <si>
    <t xml:space="preserve"> 4.11.3</t>
  </si>
  <si>
    <t xml:space="preserve"> 4.11.4</t>
  </si>
  <si>
    <t xml:space="preserve"> 4.11.5</t>
  </si>
  <si>
    <t xml:space="preserve"> 4.11.6</t>
  </si>
  <si>
    <t xml:space="preserve"> 4.11.7</t>
  </si>
  <si>
    <t xml:space="preserve"> 4.11.8</t>
  </si>
  <si>
    <t xml:space="preserve"> 4.11.9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</si>
</sst>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  <numFmt numFmtId="165" formatCode="0.0000"/>
    <numFmt numFmtId="166" formatCode="#,##0.00\ %"/>
    <numFmt numFmtId="167" formatCode="_(* #,##0.00_);_(* \(#,##0.00\);_(* &quot;-&quot;??_);_(@_)"/>
    <numFmt numFmtId="168" formatCode="&quot;R$&quot;\ #,##0.00"/>
  </numFmts>
  <fonts count="30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1"/>
    </font>
    <font>
      <b/>
      <sz val="12"/>
      <color rgb="FF000000"/>
      <name val="Times New Roman"/>
      <family val="1"/>
    </font>
    <font>
      <b/>
      <sz val="14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BDD7EE"/>
        <bgColor rgb="FFB4C7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/>
      <diagonal/>
    </border>
    <border>
      <left style="medium">
        <color indexed="64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3" tint="-0.499984740745262"/>
      </right>
      <top/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n">
        <color rgb="FFCCCCCC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 style="thick">
        <color rgb="FFFF5500"/>
      </bottom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rgb="FFCCCCCC"/>
      </top>
      <bottom style="medium">
        <color indexed="64"/>
      </bottom>
      <diagonal/>
    </border>
    <border>
      <left style="thin">
        <color theme="4" tint="-0.499984740745262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rgb="FFCCCCCC"/>
      </top>
      <bottom/>
      <diagonal/>
    </border>
    <border>
      <left style="thin">
        <color theme="4" tint="-0.499984740745262"/>
      </left>
      <right style="medium">
        <color indexed="64"/>
      </right>
      <top style="medium">
        <color indexed="64"/>
      </top>
      <bottom style="thick">
        <color rgb="FFFF55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theme="4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43" fontId="17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0" xfId="0" applyFont="1" applyFill="1"/>
    <xf numFmtId="0" fontId="0" fillId="0" borderId="0" xfId="0" applyAlignment="1">
      <alignment horizontal="left" vertical="top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top" shrinkToFi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shrinkToFit="1"/>
    </xf>
    <xf numFmtId="165" fontId="15" fillId="0" borderId="10" xfId="0" applyNumberFormat="1" applyFont="1" applyBorder="1" applyAlignment="1">
      <alignment horizontal="center" vertical="top" shrinkToFi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shrinkToFit="1"/>
    </xf>
    <xf numFmtId="10" fontId="16" fillId="0" borderId="11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22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left" vertical="center" wrapText="1"/>
    </xf>
    <xf numFmtId="44" fontId="3" fillId="0" borderId="0" xfId="0" applyNumberFormat="1" applyFont="1"/>
    <xf numFmtId="44" fontId="22" fillId="7" borderId="0" xfId="0" applyNumberFormat="1" applyFont="1" applyFill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0" fontId="21" fillId="5" borderId="32" xfId="0" applyFont="1" applyFill="1" applyBorder="1" applyAlignment="1">
      <alignment horizontal="left" vertical="center" wrapText="1"/>
    </xf>
    <xf numFmtId="0" fontId="21" fillId="5" borderId="32" xfId="0" applyFont="1" applyFill="1" applyBorder="1" applyAlignment="1">
      <alignment horizontal="center" vertical="center" wrapText="1"/>
    </xf>
    <xf numFmtId="44" fontId="21" fillId="5" borderId="32" xfId="0" applyNumberFormat="1" applyFont="1" applyFill="1" applyBorder="1" applyAlignment="1">
      <alignment horizontal="right" vertical="center" wrapText="1"/>
    </xf>
    <xf numFmtId="0" fontId="21" fillId="5" borderId="33" xfId="0" applyFont="1" applyFill="1" applyBorder="1" applyAlignment="1">
      <alignment horizontal="left" vertical="center" wrapText="1"/>
    </xf>
    <xf numFmtId="0" fontId="21" fillId="5" borderId="33" xfId="0" applyFont="1" applyFill="1" applyBorder="1" applyAlignment="1">
      <alignment horizontal="center" vertical="center" wrapText="1"/>
    </xf>
    <xf numFmtId="44" fontId="21" fillId="5" borderId="33" xfId="0" applyNumberFormat="1" applyFont="1" applyFill="1" applyBorder="1" applyAlignment="1">
      <alignment horizontal="right" vertical="center" wrapText="1"/>
    </xf>
    <xf numFmtId="0" fontId="21" fillId="5" borderId="34" xfId="0" applyFont="1" applyFill="1" applyBorder="1" applyAlignment="1">
      <alignment horizontal="left" vertical="center" wrapText="1"/>
    </xf>
    <xf numFmtId="0" fontId="21" fillId="5" borderId="34" xfId="0" applyFont="1" applyFill="1" applyBorder="1" applyAlignment="1">
      <alignment horizontal="center" vertical="center" wrapText="1"/>
    </xf>
    <xf numFmtId="44" fontId="21" fillId="5" borderId="34" xfId="0" applyNumberFormat="1" applyFont="1" applyFill="1" applyBorder="1" applyAlignment="1">
      <alignment horizontal="right" vertical="center" wrapText="1"/>
    </xf>
    <xf numFmtId="0" fontId="21" fillId="5" borderId="35" xfId="0" applyFont="1" applyFill="1" applyBorder="1" applyAlignment="1">
      <alignment horizontal="left" vertical="center" wrapText="1"/>
    </xf>
    <xf numFmtId="0" fontId="21" fillId="5" borderId="35" xfId="0" applyFont="1" applyFill="1" applyBorder="1" applyAlignment="1">
      <alignment horizontal="center" vertical="center" wrapText="1"/>
    </xf>
    <xf numFmtId="44" fontId="21" fillId="5" borderId="35" xfId="0" applyNumberFormat="1" applyFont="1" applyFill="1" applyBorder="1" applyAlignment="1">
      <alignment horizontal="right" vertical="center" wrapText="1"/>
    </xf>
    <xf numFmtId="0" fontId="20" fillId="8" borderId="36" xfId="0" applyFont="1" applyFill="1" applyBorder="1" applyAlignment="1">
      <alignment horizontal="left" vertical="center" wrapText="1"/>
    </xf>
    <xf numFmtId="0" fontId="20" fillId="8" borderId="37" xfId="0" applyFont="1" applyFill="1" applyBorder="1" applyAlignment="1">
      <alignment horizontal="left" vertical="center" wrapText="1"/>
    </xf>
    <xf numFmtId="44" fontId="20" fillId="8" borderId="37" xfId="0" applyNumberFormat="1" applyFont="1" applyFill="1" applyBorder="1" applyAlignment="1">
      <alignment horizontal="left" vertical="center" wrapText="1"/>
    </xf>
    <xf numFmtId="44" fontId="20" fillId="8" borderId="37" xfId="0" applyNumberFormat="1" applyFont="1" applyFill="1" applyBorder="1" applyAlignment="1">
      <alignment horizontal="right" vertical="center" wrapText="1"/>
    </xf>
    <xf numFmtId="166" fontId="20" fillId="8" borderId="38" xfId="0" applyNumberFormat="1" applyFont="1" applyFill="1" applyBorder="1" applyAlignment="1">
      <alignment horizontal="right" vertical="center" wrapText="1"/>
    </xf>
    <xf numFmtId="0" fontId="21" fillId="5" borderId="39" xfId="0" applyFont="1" applyFill="1" applyBorder="1" applyAlignment="1">
      <alignment horizontal="left" vertical="center" wrapText="1"/>
    </xf>
    <xf numFmtId="166" fontId="21" fillId="5" borderId="40" xfId="0" applyNumberFormat="1" applyFont="1" applyFill="1" applyBorder="1" applyAlignment="1">
      <alignment horizontal="right" vertical="center" wrapText="1"/>
    </xf>
    <xf numFmtId="0" fontId="21" fillId="5" borderId="41" xfId="0" applyFont="1" applyFill="1" applyBorder="1" applyAlignment="1">
      <alignment horizontal="left" vertical="center" wrapText="1"/>
    </xf>
    <xf numFmtId="166" fontId="21" fillId="5" borderId="42" xfId="0" applyNumberFormat="1" applyFont="1" applyFill="1" applyBorder="1" applyAlignment="1">
      <alignment horizontal="right" vertical="center" wrapText="1"/>
    </xf>
    <xf numFmtId="0" fontId="21" fillId="5" borderId="43" xfId="0" applyFont="1" applyFill="1" applyBorder="1" applyAlignment="1">
      <alignment horizontal="left" vertical="center" wrapText="1"/>
    </xf>
    <xf numFmtId="166" fontId="21" fillId="5" borderId="44" xfId="0" applyNumberFormat="1" applyFont="1" applyFill="1" applyBorder="1" applyAlignment="1">
      <alignment horizontal="right" vertical="center" wrapText="1"/>
    </xf>
    <xf numFmtId="0" fontId="21" fillId="5" borderId="45" xfId="0" applyFont="1" applyFill="1" applyBorder="1" applyAlignment="1">
      <alignment horizontal="left" vertical="center" wrapText="1"/>
    </xf>
    <xf numFmtId="166" fontId="21" fillId="5" borderId="46" xfId="0" applyNumberFormat="1" applyFont="1" applyFill="1" applyBorder="1" applyAlignment="1">
      <alignment horizontal="right" vertical="center" wrapText="1"/>
    </xf>
    <xf numFmtId="0" fontId="21" fillId="5" borderId="47" xfId="0" applyFont="1" applyFill="1" applyBorder="1" applyAlignment="1">
      <alignment horizontal="left" vertical="center" wrapText="1"/>
    </xf>
    <xf numFmtId="0" fontId="21" fillId="5" borderId="48" xfId="0" applyFont="1" applyFill="1" applyBorder="1" applyAlignment="1">
      <alignment horizontal="left" vertical="center" wrapText="1"/>
    </xf>
    <xf numFmtId="0" fontId="21" fillId="5" borderId="48" xfId="0" applyFont="1" applyFill="1" applyBorder="1" applyAlignment="1">
      <alignment horizontal="center" vertical="center" wrapText="1"/>
    </xf>
    <xf numFmtId="44" fontId="21" fillId="5" borderId="48" xfId="0" applyNumberFormat="1" applyFont="1" applyFill="1" applyBorder="1" applyAlignment="1">
      <alignment horizontal="right" vertical="center" wrapText="1"/>
    </xf>
    <xf numFmtId="166" fontId="21" fillId="5" borderId="49" xfId="0" applyNumberFormat="1" applyFont="1" applyFill="1" applyBorder="1" applyAlignment="1">
      <alignment horizontal="right" vertical="center" wrapText="1"/>
    </xf>
    <xf numFmtId="2" fontId="22" fillId="7" borderId="0" xfId="0" applyNumberFormat="1" applyFont="1" applyFill="1" applyAlignment="1">
      <alignment horizontal="center" vertical="center" wrapText="1"/>
    </xf>
    <xf numFmtId="2" fontId="20" fillId="8" borderId="37" xfId="0" applyNumberFormat="1" applyFont="1" applyFill="1" applyBorder="1" applyAlignment="1">
      <alignment horizontal="center" vertical="center" wrapText="1"/>
    </xf>
    <xf numFmtId="2" fontId="21" fillId="5" borderId="34" xfId="0" applyNumberFormat="1" applyFont="1" applyFill="1" applyBorder="1" applyAlignment="1">
      <alignment horizontal="center" vertical="center" wrapText="1"/>
    </xf>
    <xf numFmtId="2" fontId="21" fillId="5" borderId="32" xfId="0" applyNumberFormat="1" applyFont="1" applyFill="1" applyBorder="1" applyAlignment="1">
      <alignment horizontal="center" vertical="center" wrapText="1"/>
    </xf>
    <xf numFmtId="2" fontId="21" fillId="5" borderId="33" xfId="0" applyNumberFormat="1" applyFont="1" applyFill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2" fontId="21" fillId="5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44" fontId="4" fillId="0" borderId="0" xfId="0" applyNumberFormat="1" applyFont="1" applyAlignment="1">
      <alignment vertical="center"/>
    </xf>
    <xf numFmtId="0" fontId="18" fillId="0" borderId="7" xfId="2" applyFont="1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7" xfId="2" applyBorder="1" applyAlignment="1">
      <alignment vertical="center"/>
    </xf>
    <xf numFmtId="43" fontId="0" fillId="0" borderId="7" xfId="3" applyFont="1" applyBorder="1" applyAlignment="1">
      <alignment vertical="center"/>
    </xf>
    <xf numFmtId="0" fontId="18" fillId="0" borderId="7" xfId="2" applyFont="1" applyBorder="1" applyAlignment="1">
      <alignment vertical="center"/>
    </xf>
    <xf numFmtId="167" fontId="18" fillId="0" borderId="7" xfId="2" applyNumberFormat="1" applyFont="1" applyBorder="1" applyAlignment="1">
      <alignment vertical="center"/>
    </xf>
    <xf numFmtId="0" fontId="9" fillId="0" borderId="7" xfId="2" applyBorder="1" applyAlignment="1">
      <alignment vertical="center" wrapText="1"/>
    </xf>
    <xf numFmtId="167" fontId="9" fillId="0" borderId="7" xfId="2" applyNumberFormat="1" applyBorder="1" applyAlignment="1">
      <alignment vertical="center"/>
    </xf>
    <xf numFmtId="167" fontId="18" fillId="3" borderId="7" xfId="2" applyNumberFormat="1" applyFont="1" applyFill="1" applyBorder="1" applyAlignment="1">
      <alignment vertical="center"/>
    </xf>
    <xf numFmtId="0" fontId="9" fillId="0" borderId="0" xfId="2" applyAlignment="1">
      <alignment vertical="center"/>
    </xf>
    <xf numFmtId="44" fontId="24" fillId="0" borderId="0" xfId="0" applyNumberFormat="1" applyFont="1"/>
    <xf numFmtId="0" fontId="20" fillId="8" borderId="7" xfId="0" applyFont="1" applyFill="1" applyBorder="1" applyAlignment="1">
      <alignment horizontal="left" vertical="center" wrapText="1"/>
    </xf>
    <xf numFmtId="2" fontId="20" fillId="8" borderId="7" xfId="0" applyNumberFormat="1" applyFont="1" applyFill="1" applyBorder="1" applyAlignment="1">
      <alignment horizontal="center" vertical="center" wrapText="1"/>
    </xf>
    <xf numFmtId="44" fontId="20" fillId="8" borderId="7" xfId="0" applyNumberFormat="1" applyFont="1" applyFill="1" applyBorder="1" applyAlignment="1">
      <alignment horizontal="left" vertical="center" wrapText="1"/>
    </xf>
    <xf numFmtId="44" fontId="20" fillId="8" borderId="7" xfId="0" applyNumberFormat="1" applyFont="1" applyFill="1" applyBorder="1" applyAlignment="1">
      <alignment horizontal="right" vertical="center" wrapText="1"/>
    </xf>
    <xf numFmtId="166" fontId="20" fillId="8" borderId="7" xfId="0" applyNumberFormat="1" applyFont="1" applyFill="1" applyBorder="1" applyAlignment="1">
      <alignment horizontal="right" vertical="center" wrapText="1"/>
    </xf>
    <xf numFmtId="0" fontId="19" fillId="7" borderId="52" xfId="0" applyFont="1" applyFill="1" applyBorder="1" applyAlignment="1">
      <alignment horizontal="center" vertical="center" wrapText="1"/>
    </xf>
    <xf numFmtId="2" fontId="19" fillId="7" borderId="52" xfId="0" applyNumberFormat="1" applyFont="1" applyFill="1" applyBorder="1" applyAlignment="1">
      <alignment horizontal="center" vertical="center" wrapText="1"/>
    </xf>
    <xf numFmtId="44" fontId="19" fillId="7" borderId="52" xfId="0" applyNumberFormat="1" applyFont="1" applyFill="1" applyBorder="1" applyAlignment="1">
      <alignment horizontal="center" vertical="justify" wrapText="1"/>
    </xf>
    <xf numFmtId="0" fontId="23" fillId="7" borderId="0" xfId="0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21" fillId="5" borderId="32" xfId="0" applyNumberFormat="1" applyFont="1" applyFill="1" applyBorder="1" applyAlignment="1">
      <alignment horizontal="left" vertical="center" wrapText="1"/>
    </xf>
    <xf numFmtId="9" fontId="1" fillId="0" borderId="0" xfId="1"/>
    <xf numFmtId="0" fontId="14" fillId="10" borderId="51" xfId="0" applyFont="1" applyFill="1" applyBorder="1" applyAlignment="1">
      <alignment horizontal="center" vertical="center" wrapText="1"/>
    </xf>
    <xf numFmtId="164" fontId="14" fillId="10" borderId="52" xfId="0" applyNumberFormat="1" applyFont="1" applyFill="1" applyBorder="1" applyAlignment="1">
      <alignment horizontal="center" vertical="center"/>
    </xf>
    <xf numFmtId="0" fontId="14" fillId="10" borderId="76" xfId="0" applyFont="1" applyFill="1" applyBorder="1" applyAlignment="1">
      <alignment horizontal="center" vertical="center" wrapText="1"/>
    </xf>
    <xf numFmtId="164" fontId="14" fillId="10" borderId="78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44" fontId="23" fillId="7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9" fontId="9" fillId="0" borderId="55" xfId="1" applyFont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center" vertical="center" wrapText="1"/>
    </xf>
    <xf numFmtId="0" fontId="26" fillId="5" borderId="56" xfId="0" applyFont="1" applyFill="1" applyBorder="1" applyAlignment="1">
      <alignment horizontal="center" vertical="center" wrapText="1"/>
    </xf>
    <xf numFmtId="168" fontId="24" fillId="5" borderId="58" xfId="0" applyNumberFormat="1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26" fillId="5" borderId="59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6" fillId="5" borderId="64" xfId="0" applyFont="1" applyFill="1" applyBorder="1" applyAlignment="1">
      <alignment horizontal="center" vertical="center" wrapText="1"/>
    </xf>
    <xf numFmtId="9" fontId="9" fillId="0" borderId="66" xfId="1" applyFont="1" applyBorder="1" applyAlignment="1">
      <alignment horizontal="center" vertical="center" wrapText="1"/>
    </xf>
    <xf numFmtId="168" fontId="24" fillId="5" borderId="59" xfId="0" applyNumberFormat="1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0" fontId="26" fillId="5" borderId="79" xfId="0" applyFont="1" applyFill="1" applyBorder="1" applyAlignment="1">
      <alignment horizontal="center" vertical="center" wrapText="1"/>
    </xf>
    <xf numFmtId="0" fontId="26" fillId="5" borderId="65" xfId="0" applyFont="1" applyFill="1" applyBorder="1" applyAlignment="1">
      <alignment horizontal="center" vertical="center" wrapText="1"/>
    </xf>
    <xf numFmtId="44" fontId="24" fillId="5" borderId="53" xfId="0" applyNumberFormat="1" applyFont="1" applyFill="1" applyBorder="1" applyAlignment="1">
      <alignment horizontal="center" vertical="center" wrapText="1"/>
    </xf>
    <xf numFmtId="0" fontId="26" fillId="5" borderId="80" xfId="0" applyFont="1" applyFill="1" applyBorder="1" applyAlignment="1">
      <alignment horizontal="center" vertical="center" wrapText="1"/>
    </xf>
    <xf numFmtId="44" fontId="24" fillId="5" borderId="59" xfId="0" applyNumberFormat="1" applyFont="1" applyFill="1" applyBorder="1" applyAlignment="1">
      <alignment horizontal="center" vertical="center" wrapText="1"/>
    </xf>
    <xf numFmtId="44" fontId="24" fillId="5" borderId="58" xfId="0" applyNumberFormat="1" applyFont="1" applyFill="1" applyBorder="1" applyAlignment="1">
      <alignment horizontal="center" vertical="center" wrapText="1"/>
    </xf>
    <xf numFmtId="44" fontId="24" fillId="5" borderId="68" xfId="0" applyNumberFormat="1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right" vertical="center" wrapText="1"/>
    </xf>
    <xf numFmtId="0" fontId="13" fillId="7" borderId="51" xfId="0" applyFont="1" applyFill="1" applyBorder="1" applyAlignment="1">
      <alignment horizontal="right" vertical="center" wrapText="1"/>
    </xf>
    <xf numFmtId="0" fontId="13" fillId="7" borderId="76" xfId="0" applyFont="1" applyFill="1" applyBorder="1" applyAlignment="1">
      <alignment horizontal="right" vertical="center" wrapText="1"/>
    </xf>
    <xf numFmtId="168" fontId="13" fillId="7" borderId="22" xfId="0" applyNumberFormat="1" applyFont="1" applyFill="1" applyBorder="1" applyAlignment="1">
      <alignment horizontal="right" vertical="center" wrapText="1"/>
    </xf>
    <xf numFmtId="168" fontId="13" fillId="7" borderId="7" xfId="0" applyNumberFormat="1" applyFont="1" applyFill="1" applyBorder="1" applyAlignment="1">
      <alignment horizontal="right" vertical="center" wrapText="1"/>
    </xf>
    <xf numFmtId="44" fontId="13" fillId="7" borderId="7" xfId="0" applyNumberFormat="1" applyFont="1" applyFill="1" applyBorder="1" applyAlignment="1">
      <alignment horizontal="right" vertical="center" wrapText="1"/>
    </xf>
    <xf numFmtId="44" fontId="13" fillId="7" borderId="28" xfId="0" applyNumberFormat="1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0" fontId="13" fillId="7" borderId="7" xfId="0" applyFont="1" applyFill="1" applyBorder="1" applyAlignment="1">
      <alignment horizontal="right" vertical="center" wrapText="1"/>
    </xf>
    <xf numFmtId="0" fontId="13" fillId="7" borderId="28" xfId="0" applyFont="1" applyFill="1" applyBorder="1" applyAlignment="1">
      <alignment horizontal="right" vertical="center" wrapText="1"/>
    </xf>
    <xf numFmtId="168" fontId="13" fillId="7" borderId="83" xfId="0" applyNumberFormat="1" applyFont="1" applyFill="1" applyBorder="1" applyAlignment="1">
      <alignment horizontal="right" vertical="center" wrapText="1"/>
    </xf>
    <xf numFmtId="168" fontId="13" fillId="7" borderId="30" xfId="0" applyNumberFormat="1" applyFont="1" applyFill="1" applyBorder="1" applyAlignment="1">
      <alignment horizontal="right" vertical="center" wrapText="1"/>
    </xf>
    <xf numFmtId="44" fontId="13" fillId="7" borderId="30" xfId="0" applyNumberFormat="1" applyFont="1" applyFill="1" applyBorder="1" applyAlignment="1">
      <alignment horizontal="right" vertical="center" wrapText="1"/>
    </xf>
    <xf numFmtId="44" fontId="13" fillId="7" borderId="3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0" fontId="13" fillId="0" borderId="21" xfId="1" applyNumberFormat="1" applyFont="1" applyBorder="1" applyAlignment="1">
      <alignment horizontal="center" vertical="center" wrapText="1" readingOrder="1"/>
    </xf>
    <xf numFmtId="10" fontId="13" fillId="0" borderId="22" xfId="1" applyNumberFormat="1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left" vertical="justify"/>
    </xf>
    <xf numFmtId="0" fontId="6" fillId="0" borderId="2" xfId="0" applyFont="1" applyBorder="1" applyAlignment="1">
      <alignment horizontal="left" vertical="justify"/>
    </xf>
    <xf numFmtId="0" fontId="6" fillId="0" borderId="23" xfId="0" applyFont="1" applyBorder="1" applyAlignment="1">
      <alignment horizontal="left" vertical="justify"/>
    </xf>
    <xf numFmtId="0" fontId="6" fillId="0" borderId="2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3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3" fillId="7" borderId="0" xfId="0" applyFont="1" applyFill="1" applyAlignment="1">
      <alignment horizontal="right" vertical="center" wrapText="1"/>
    </xf>
    <xf numFmtId="44" fontId="23" fillId="7" borderId="30" xfId="0" applyNumberFormat="1" applyFont="1" applyFill="1" applyBorder="1" applyAlignment="1">
      <alignment horizontal="right" vertical="center" wrapText="1"/>
    </xf>
    <xf numFmtId="44" fontId="23" fillId="7" borderId="31" xfId="0" applyNumberFormat="1" applyFont="1" applyFill="1" applyBorder="1" applyAlignment="1">
      <alignment horizontal="right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44" fontId="23" fillId="7" borderId="25" xfId="0" applyNumberFormat="1" applyFont="1" applyFill="1" applyBorder="1" applyAlignment="1">
      <alignment horizontal="right" vertical="center" wrapText="1"/>
    </xf>
    <xf numFmtId="44" fontId="23" fillId="7" borderId="26" xfId="0" applyNumberFormat="1" applyFont="1" applyFill="1" applyBorder="1" applyAlignment="1">
      <alignment horizontal="right" vertical="center" wrapText="1"/>
    </xf>
    <xf numFmtId="44" fontId="23" fillId="7" borderId="7" xfId="0" applyNumberFormat="1" applyFont="1" applyFill="1" applyBorder="1" applyAlignment="1">
      <alignment horizontal="right" vertical="center" wrapText="1"/>
    </xf>
    <xf numFmtId="44" fontId="23" fillId="7" borderId="28" xfId="0" applyNumberFormat="1" applyFont="1" applyFill="1" applyBorder="1" applyAlignment="1">
      <alignment horizontal="right" vertical="center" wrapText="1"/>
    </xf>
    <xf numFmtId="0" fontId="20" fillId="8" borderId="61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44" fontId="23" fillId="7" borderId="69" xfId="0" applyNumberFormat="1" applyFont="1" applyFill="1" applyBorder="1" applyAlignment="1">
      <alignment horizontal="center" vertical="center" wrapText="1"/>
    </xf>
    <xf numFmtId="0" fontId="23" fillId="7" borderId="70" xfId="0" applyFont="1" applyFill="1" applyBorder="1" applyAlignment="1">
      <alignment horizontal="center" vertical="center" wrapText="1"/>
    </xf>
    <xf numFmtId="0" fontId="23" fillId="7" borderId="7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4" fontId="23" fillId="7" borderId="81" xfId="0" applyNumberFormat="1" applyFont="1" applyFill="1" applyBorder="1" applyAlignment="1">
      <alignment horizontal="left" vertical="center" wrapText="1"/>
    </xf>
    <xf numFmtId="44" fontId="23" fillId="7" borderId="0" xfId="0" applyNumberFormat="1" applyFont="1" applyFill="1" applyAlignment="1">
      <alignment horizontal="left" vertical="center" wrapText="1"/>
    </xf>
    <xf numFmtId="0" fontId="23" fillId="7" borderId="81" xfId="0" applyFont="1" applyFill="1" applyBorder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44" fontId="23" fillId="7" borderId="82" xfId="0" applyNumberFormat="1" applyFont="1" applyFill="1" applyBorder="1" applyAlignment="1">
      <alignment horizontal="left" vertical="center" wrapText="1"/>
    </xf>
    <xf numFmtId="44" fontId="23" fillId="7" borderId="67" xfId="0" applyNumberFormat="1" applyFont="1" applyFill="1" applyBorder="1" applyAlignment="1">
      <alignment horizontal="left" vertical="center" wrapText="1"/>
    </xf>
    <xf numFmtId="0" fontId="14" fillId="10" borderId="75" xfId="0" applyFont="1" applyFill="1" applyBorder="1" applyAlignment="1">
      <alignment horizontal="center" vertical="center" wrapText="1"/>
    </xf>
    <xf numFmtId="0" fontId="14" fillId="10" borderId="77" xfId="0" applyFont="1" applyFill="1" applyBorder="1" applyAlignment="1">
      <alignment vertical="center"/>
    </xf>
    <xf numFmtId="0" fontId="14" fillId="10" borderId="51" xfId="0" applyFont="1" applyFill="1" applyBorder="1" applyAlignment="1">
      <alignment horizontal="center" vertical="center"/>
    </xf>
    <xf numFmtId="0" fontId="14" fillId="10" borderId="51" xfId="0" applyFont="1" applyFill="1" applyBorder="1" applyAlignment="1">
      <alignment vertical="center"/>
    </xf>
    <xf numFmtId="0" fontId="14" fillId="10" borderId="52" xfId="0" applyFont="1" applyFill="1" applyBorder="1" applyAlignment="1">
      <alignment vertical="center"/>
    </xf>
    <xf numFmtId="0" fontId="27" fillId="8" borderId="60" xfId="0" applyFont="1" applyFill="1" applyBorder="1" applyAlignment="1">
      <alignment horizontal="center" vertical="center" wrapText="1"/>
    </xf>
    <xf numFmtId="0" fontId="27" fillId="8" borderId="58" xfId="0" applyFont="1" applyFill="1" applyBorder="1" applyAlignment="1">
      <alignment horizontal="center" vertical="center" wrapText="1"/>
    </xf>
    <xf numFmtId="0" fontId="27" fillId="8" borderId="53" xfId="0" applyFont="1" applyFill="1" applyBorder="1" applyAlignment="1">
      <alignment horizontal="center" vertical="center" wrapText="1"/>
    </xf>
    <xf numFmtId="44" fontId="27" fillId="5" borderId="60" xfId="0" applyNumberFormat="1" applyFont="1" applyFill="1" applyBorder="1" applyAlignment="1">
      <alignment horizontal="center" vertical="center" wrapText="1"/>
    </xf>
    <xf numFmtId="44" fontId="27" fillId="5" borderId="58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7" fillId="0" borderId="72" xfId="0" applyNumberFormat="1" applyFont="1" applyBorder="1" applyAlignment="1">
      <alignment horizontal="center" wrapText="1"/>
    </xf>
    <xf numFmtId="49" fontId="7" fillId="0" borderId="73" xfId="0" applyNumberFormat="1" applyFont="1" applyBorder="1" applyAlignment="1">
      <alignment horizontal="center" wrapText="1"/>
    </xf>
    <xf numFmtId="49" fontId="7" fillId="0" borderId="74" xfId="0" applyNumberFormat="1" applyFont="1" applyBorder="1" applyAlignment="1">
      <alignment horizontal="center" wrapText="1"/>
    </xf>
    <xf numFmtId="44" fontId="27" fillId="5" borderId="53" xfId="0" applyNumberFormat="1" applyFont="1" applyFill="1" applyBorder="1" applyAlignment="1">
      <alignment horizontal="center" vertical="center" wrapText="1"/>
    </xf>
    <xf numFmtId="0" fontId="20" fillId="8" borderId="6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top" wrapText="1" indent="8"/>
    </xf>
    <xf numFmtId="0" fontId="12" fillId="0" borderId="10" xfId="0" applyFont="1" applyBorder="1" applyAlignment="1">
      <alignment horizontal="left" vertical="top" wrapText="1" indent="8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left" vertical="top" wrapText="1" indent="2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/>
    </xf>
    <xf numFmtId="0" fontId="18" fillId="9" borderId="4" xfId="2" applyFont="1" applyFill="1" applyBorder="1" applyAlignment="1">
      <alignment horizontal="center" vertical="center"/>
    </xf>
    <xf numFmtId="0" fontId="18" fillId="9" borderId="5" xfId="2" applyFont="1" applyFill="1" applyBorder="1" applyAlignment="1">
      <alignment horizontal="center" vertical="center"/>
    </xf>
    <xf numFmtId="0" fontId="18" fillId="9" borderId="6" xfId="2" applyFont="1" applyFill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</cellXfs>
  <cellStyles count="4">
    <cellStyle name="Normal" xfId="0" builtinId="0"/>
    <cellStyle name="Normal 2" xfId="2" xr:uid="{5B8F6FB0-C1E6-4CF2-BA06-061B17F73370}"/>
    <cellStyle name="Porcentagem" xfId="1" builtinId="5"/>
    <cellStyle name="Vírgula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0E0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5B9BD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png"/><Relationship Id="rId4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180974</xdr:rowOff>
    </xdr:from>
    <xdr:to>
      <xdr:col>4</xdr:col>
      <xdr:colOff>409574</xdr:colOff>
      <xdr:row>2</xdr:row>
      <xdr:rowOff>66675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AFB2522-E8BB-4650-AA65-E1C3217842C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39059"/>
        <a:stretch/>
      </xdr:blipFill>
      <xdr:spPr bwMode="auto">
        <a:xfrm>
          <a:off x="723899" y="180974"/>
          <a:ext cx="1971675" cy="6667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876300</xdr:colOff>
      <xdr:row>0</xdr:row>
      <xdr:rowOff>200026</xdr:rowOff>
    </xdr:from>
    <xdr:to>
      <xdr:col>10</xdr:col>
      <xdr:colOff>262618</xdr:colOff>
      <xdr:row>2</xdr:row>
      <xdr:rowOff>152400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3FF149E7-6577-43A2-80F1-1F4553BBFFA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924925" y="200026"/>
          <a:ext cx="1552575" cy="733424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3057525</xdr:colOff>
      <xdr:row>0</xdr:row>
      <xdr:rowOff>76200</xdr:rowOff>
    </xdr:from>
    <xdr:to>
      <xdr:col>4</xdr:col>
      <xdr:colOff>3521075</xdr:colOff>
      <xdr:row>0</xdr:row>
      <xdr:rowOff>403860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508D7B5-1542-4216-9328-BA41A00332A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76200"/>
          <a:ext cx="463550" cy="327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176893</xdr:colOff>
      <xdr:row>0</xdr:row>
      <xdr:rowOff>122464</xdr:rowOff>
    </xdr:from>
    <xdr:to>
      <xdr:col>4</xdr:col>
      <xdr:colOff>640443</xdr:colOff>
      <xdr:row>0</xdr:row>
      <xdr:rowOff>450124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96FF31-33DE-4A00-9BAD-480B29E572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0929" y="122464"/>
          <a:ext cx="463550" cy="327660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217715</xdr:colOff>
      <xdr:row>0</xdr:row>
      <xdr:rowOff>68036</xdr:rowOff>
    </xdr:from>
    <xdr:to>
      <xdr:col>1</xdr:col>
      <xdr:colOff>2149928</xdr:colOff>
      <xdr:row>1</xdr:row>
      <xdr:rowOff>81644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E9466DCC-7C86-43A6-A4FD-28CF10C9849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39059"/>
        <a:stretch/>
      </xdr:blipFill>
      <xdr:spPr bwMode="auto">
        <a:xfrm>
          <a:off x="217715" y="68036"/>
          <a:ext cx="2476499" cy="7075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136073</xdr:colOff>
      <xdr:row>0</xdr:row>
      <xdr:rowOff>149679</xdr:rowOff>
    </xdr:from>
    <xdr:to>
      <xdr:col>8</xdr:col>
      <xdr:colOff>1198790</xdr:colOff>
      <xdr:row>2</xdr:row>
      <xdr:rowOff>163286</xdr:rowOff>
    </xdr:to>
    <xdr:pic>
      <xdr:nvPicPr>
        <xdr:cNvPr id="6" name="image3.jpg">
          <a:extLst>
            <a:ext uri="{FF2B5EF4-FFF2-40B4-BE49-F238E27FC236}">
              <a16:creationId xmlns:a16="http://schemas.microsoft.com/office/drawing/2014/main" id="{AC206D29-70E3-4F07-845E-F38ED3A72B4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0463894" y="149679"/>
          <a:ext cx="2450646" cy="911678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27</xdr:row>
      <xdr:rowOff>55245</xdr:rowOff>
    </xdr:from>
    <xdr:to>
      <xdr:col>1</xdr:col>
      <xdr:colOff>981075</xdr:colOff>
      <xdr:row>34</xdr:row>
      <xdr:rowOff>39351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7AB9F3-CFD2-484F-B8F9-B745DFBB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7" t="35703" r="47504" b="43489"/>
        <a:stretch>
          <a:fillRect/>
        </a:stretch>
      </xdr:blipFill>
      <xdr:spPr bwMode="auto">
        <a:xfrm>
          <a:off x="327660" y="6294120"/>
          <a:ext cx="4330065" cy="1317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2681968</xdr:colOff>
      <xdr:row>0</xdr:row>
      <xdr:rowOff>131989</xdr:rowOff>
    </xdr:from>
    <xdr:to>
      <xdr:col>0</xdr:col>
      <xdr:colOff>3145518</xdr:colOff>
      <xdr:row>0</xdr:row>
      <xdr:rowOff>459649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4F5175D-982F-415C-8233-2CCC4E5E38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1968" y="131989"/>
          <a:ext cx="463550" cy="327660"/>
        </a:xfrm>
        <a:prstGeom prst="rect">
          <a:avLst/>
        </a:prstGeom>
      </xdr:spPr>
    </xdr:pic>
    <xdr:clientData/>
  </xdr:twoCellAnchor>
  <xdr:twoCellAnchor editAs="oneCell">
    <xdr:from>
      <xdr:col>0</xdr:col>
      <xdr:colOff>84365</xdr:colOff>
      <xdr:row>0</xdr:row>
      <xdr:rowOff>77562</xdr:rowOff>
    </xdr:from>
    <xdr:to>
      <xdr:col>0</xdr:col>
      <xdr:colOff>1438275</xdr:colOff>
      <xdr:row>0</xdr:row>
      <xdr:rowOff>628650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A2BE4EC5-0634-4AAC-A322-A9C0B895BF8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39059"/>
        <a:stretch/>
      </xdr:blipFill>
      <xdr:spPr bwMode="auto">
        <a:xfrm>
          <a:off x="84365" y="77562"/>
          <a:ext cx="1353910" cy="5510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717099</xdr:colOff>
      <xdr:row>0</xdr:row>
      <xdr:rowOff>102054</xdr:rowOff>
    </xdr:from>
    <xdr:to>
      <xdr:col>2</xdr:col>
      <xdr:colOff>723901</xdr:colOff>
      <xdr:row>0</xdr:row>
      <xdr:rowOff>600075</xdr:rowOff>
    </xdr:to>
    <xdr:pic>
      <xdr:nvPicPr>
        <xdr:cNvPr id="6" name="image3.jpg">
          <a:extLst>
            <a:ext uri="{FF2B5EF4-FFF2-40B4-BE49-F238E27FC236}">
              <a16:creationId xmlns:a16="http://schemas.microsoft.com/office/drawing/2014/main" id="{A4C70192-B278-46CC-95E1-1075DC4A45BF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3749" y="102054"/>
          <a:ext cx="1302202" cy="498021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1885043</xdr:colOff>
      <xdr:row>0</xdr:row>
      <xdr:rowOff>86480</xdr:rowOff>
    </xdr:from>
    <xdr:to>
      <xdr:col>1</xdr:col>
      <xdr:colOff>2348593</xdr:colOff>
      <xdr:row>0</xdr:row>
      <xdr:rowOff>433190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5FCF2B-133B-46B9-BFF8-F7EEE5563F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4210" y="86480"/>
          <a:ext cx="463550" cy="346710"/>
        </a:xfrm>
        <a:prstGeom prst="rect">
          <a:avLst/>
        </a:prstGeom>
      </xdr:spPr>
    </xdr:pic>
    <xdr:clientData/>
  </xdr:twoCellAnchor>
  <xdr:twoCellAnchor editAs="oneCell">
    <xdr:from>
      <xdr:col>0</xdr:col>
      <xdr:colOff>81189</xdr:colOff>
      <xdr:row>0</xdr:row>
      <xdr:rowOff>88145</xdr:rowOff>
    </xdr:from>
    <xdr:to>
      <xdr:col>1</xdr:col>
      <xdr:colOff>511175</xdr:colOff>
      <xdr:row>2</xdr:row>
      <xdr:rowOff>39158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A5F52805-B0F4-4969-91F5-0C737EFE774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39059"/>
        <a:stretch/>
      </xdr:blipFill>
      <xdr:spPr bwMode="auto">
        <a:xfrm>
          <a:off x="81189" y="88145"/>
          <a:ext cx="1615319" cy="5860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345017</xdr:colOff>
      <xdr:row>0</xdr:row>
      <xdr:rowOff>107950</xdr:rowOff>
    </xdr:from>
    <xdr:to>
      <xdr:col>3</xdr:col>
      <xdr:colOff>999067</xdr:colOff>
      <xdr:row>2</xdr:row>
      <xdr:rowOff>60325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249456D0-F678-48AF-AA5F-0FB035792146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118100" y="107950"/>
          <a:ext cx="1553634" cy="5873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G120"/>
  <sheetViews>
    <sheetView showGridLines="0" view="pageBreakPreview" topLeftCell="B7" zoomScaleNormal="100" zoomScaleSheetLayoutView="100" zoomScalePageLayoutView="120" workbookViewId="0">
      <selection activeCell="E118" sqref="E118"/>
    </sheetView>
  </sheetViews>
  <sheetFormatPr defaultColWidth="9" defaultRowHeight="30" customHeight="1" x14ac:dyDescent="0.25"/>
  <cols>
    <col min="1" max="1" width="9" style="4"/>
    <col min="2" max="2" width="6.85546875" style="1" customWidth="1"/>
    <col min="3" max="3" width="9.85546875" style="62" customWidth="1"/>
    <col min="4" max="4" width="8.5703125" style="2" customWidth="1"/>
    <col min="5" max="5" width="56.85546875" style="2" customWidth="1"/>
    <col min="6" max="6" width="7.42578125" style="3" customWidth="1"/>
    <col min="7" max="7" width="9.140625" style="3" customWidth="1"/>
    <col min="8" max="8" width="13.140625" style="24" customWidth="1"/>
    <col min="9" max="9" width="13.28515625" style="24" customWidth="1"/>
    <col min="10" max="10" width="19.140625" style="22" customWidth="1"/>
    <col min="11" max="11" width="9" style="2" customWidth="1"/>
    <col min="12" max="12" width="19.140625" style="2" customWidth="1"/>
    <col min="13" max="1021" width="9" style="2" customWidth="1"/>
    <col min="1022" max="16384" width="9" style="4"/>
  </cols>
  <sheetData>
    <row r="1" spans="2:12" ht="45.75" customHeight="1" x14ac:dyDescent="0.25">
      <c r="B1" s="131" t="s">
        <v>45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2" ht="15.75" x14ac:dyDescent="0.2">
      <c r="B2" s="132" t="s">
        <v>412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2" ht="15.75" x14ac:dyDescent="0.2">
      <c r="B3" s="150" t="s">
        <v>375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2" ht="15" x14ac:dyDescent="0.2">
      <c r="B4" s="141" t="s">
        <v>378</v>
      </c>
      <c r="C4" s="142"/>
      <c r="D4" s="142"/>
      <c r="E4" s="142"/>
      <c r="F4" s="142"/>
      <c r="G4" s="143"/>
      <c r="H4" s="136" t="s">
        <v>374</v>
      </c>
      <c r="I4" s="137"/>
      <c r="J4" s="137"/>
      <c r="K4" s="138"/>
    </row>
    <row r="5" spans="2:12" ht="15" x14ac:dyDescent="0.2">
      <c r="B5" s="144"/>
      <c r="C5" s="145"/>
      <c r="D5" s="145"/>
      <c r="E5" s="145"/>
      <c r="F5" s="145"/>
      <c r="G5" s="146"/>
      <c r="H5" s="136" t="s">
        <v>10</v>
      </c>
      <c r="I5" s="138"/>
      <c r="J5" s="139">
        <v>0.87480000000000002</v>
      </c>
      <c r="K5" s="140"/>
    </row>
    <row r="6" spans="2:12" ht="15" x14ac:dyDescent="0.2">
      <c r="B6" s="144"/>
      <c r="C6" s="145"/>
      <c r="D6" s="145"/>
      <c r="E6" s="145"/>
      <c r="F6" s="145"/>
      <c r="G6" s="146"/>
      <c r="H6" s="136" t="s">
        <v>11</v>
      </c>
      <c r="I6" s="138"/>
      <c r="J6" s="139">
        <v>0.47939999999999999</v>
      </c>
      <c r="K6" s="140"/>
    </row>
    <row r="7" spans="2:12" ht="15" x14ac:dyDescent="0.2">
      <c r="B7" s="147"/>
      <c r="C7" s="148"/>
      <c r="D7" s="148"/>
      <c r="E7" s="148"/>
      <c r="F7" s="148"/>
      <c r="G7" s="149"/>
      <c r="H7" s="136" t="s">
        <v>12</v>
      </c>
      <c r="I7" s="138"/>
      <c r="J7" s="139">
        <v>0.30499999999999999</v>
      </c>
      <c r="K7" s="140"/>
    </row>
    <row r="8" spans="2:12" ht="23.25" x14ac:dyDescent="0.2">
      <c r="B8" s="133" t="s">
        <v>9</v>
      </c>
      <c r="C8" s="134"/>
      <c r="D8" s="134"/>
      <c r="E8" s="134"/>
      <c r="F8" s="134"/>
      <c r="G8" s="134"/>
      <c r="H8" s="134"/>
      <c r="I8" s="134"/>
      <c r="J8" s="134"/>
      <c r="K8" s="135"/>
    </row>
    <row r="9" spans="2:12" ht="30" customHeight="1" x14ac:dyDescent="0.2">
      <c r="B9" s="84" t="s">
        <v>47</v>
      </c>
      <c r="C9" s="84" t="s">
        <v>48</v>
      </c>
      <c r="D9" s="84" t="s">
        <v>49</v>
      </c>
      <c r="E9" s="84" t="s">
        <v>50</v>
      </c>
      <c r="F9" s="84" t="s">
        <v>51</v>
      </c>
      <c r="G9" s="85" t="s">
        <v>52</v>
      </c>
      <c r="H9" s="86" t="s">
        <v>377</v>
      </c>
      <c r="I9" s="86" t="s">
        <v>53</v>
      </c>
      <c r="J9" s="86" t="s">
        <v>376</v>
      </c>
      <c r="K9" s="84" t="s">
        <v>54</v>
      </c>
    </row>
    <row r="10" spans="2:12" s="5" customFormat="1" ht="30" customHeight="1" x14ac:dyDescent="0.2">
      <c r="B10" s="79" t="s">
        <v>55</v>
      </c>
      <c r="C10" s="79"/>
      <c r="D10" s="79"/>
      <c r="E10" s="79" t="s">
        <v>56</v>
      </c>
      <c r="F10" s="79"/>
      <c r="G10" s="80"/>
      <c r="H10" s="81"/>
      <c r="I10" s="81"/>
      <c r="J10" s="82">
        <f>SUM(J11:J13)</f>
        <v>22080.444966000003</v>
      </c>
      <c r="K10" s="83">
        <v>4.728520062772823E-2</v>
      </c>
    </row>
    <row r="11" spans="2:12" ht="30" customHeight="1" x14ac:dyDescent="0.2">
      <c r="B11" s="44" t="s">
        <v>417</v>
      </c>
      <c r="C11" s="25" t="s">
        <v>59</v>
      </c>
      <c r="D11" s="25" t="s">
        <v>57</v>
      </c>
      <c r="E11" s="25" t="s">
        <v>60</v>
      </c>
      <c r="F11" s="26" t="s">
        <v>58</v>
      </c>
      <c r="G11" s="58">
        <v>6</v>
      </c>
      <c r="H11" s="27">
        <v>184.18</v>
      </c>
      <c r="I11" s="33">
        <f t="shared" ref="I11:I23" si="0">H11*1.305</f>
        <v>240.35489999999999</v>
      </c>
      <c r="J11" s="33">
        <f t="shared" ref="J11:J13" si="1">I11*G11</f>
        <v>1442.1293999999998</v>
      </c>
      <c r="K11" s="45">
        <v>5.8179614918323183E-4</v>
      </c>
      <c r="L11" s="78"/>
    </row>
    <row r="12" spans="2:12" ht="30" customHeight="1" x14ac:dyDescent="0.2">
      <c r="B12" s="44" t="s">
        <v>418</v>
      </c>
      <c r="C12" s="25" t="s">
        <v>61</v>
      </c>
      <c r="D12" s="25" t="s">
        <v>57</v>
      </c>
      <c r="E12" s="25" t="s">
        <v>62</v>
      </c>
      <c r="F12" s="26" t="s">
        <v>58</v>
      </c>
      <c r="G12" s="58">
        <v>12</v>
      </c>
      <c r="H12" s="27">
        <v>989.66</v>
      </c>
      <c r="I12" s="33">
        <f t="shared" si="0"/>
        <v>1291.5063</v>
      </c>
      <c r="J12" s="33">
        <f t="shared" si="1"/>
        <v>15498.0756</v>
      </c>
      <c r="K12" s="45">
        <v>6.2524628805503959E-3</v>
      </c>
    </row>
    <row r="13" spans="2:12" ht="30" customHeight="1" x14ac:dyDescent="0.2">
      <c r="B13" s="44" t="s">
        <v>419</v>
      </c>
      <c r="C13" s="28">
        <v>10009</v>
      </c>
      <c r="D13" s="25" t="s">
        <v>57</v>
      </c>
      <c r="E13" s="28" t="s">
        <v>379</v>
      </c>
      <c r="F13" s="26" t="s">
        <v>58</v>
      </c>
      <c r="G13" s="59">
        <v>707.16</v>
      </c>
      <c r="H13" s="30">
        <v>5.57</v>
      </c>
      <c r="I13" s="33">
        <f t="shared" si="0"/>
        <v>7.2688499999999996</v>
      </c>
      <c r="J13" s="33">
        <f t="shared" si="1"/>
        <v>5140.2399659999992</v>
      </c>
      <c r="K13" s="47">
        <v>5.4668383779576616E-3</v>
      </c>
    </row>
    <row r="14" spans="2:12" ht="30" customHeight="1" x14ac:dyDescent="0.2">
      <c r="B14" s="79" t="s">
        <v>63</v>
      </c>
      <c r="C14" s="79"/>
      <c r="D14" s="79"/>
      <c r="E14" s="79" t="s">
        <v>64</v>
      </c>
      <c r="F14" s="79"/>
      <c r="G14" s="80"/>
      <c r="H14" s="81"/>
      <c r="I14" s="81"/>
      <c r="J14" s="82">
        <f>SUM(J15:J23)</f>
        <v>58332.489929999982</v>
      </c>
      <c r="K14" s="83">
        <v>2.3530327898389321E-2</v>
      </c>
    </row>
    <row r="15" spans="2:12" ht="30" customHeight="1" x14ac:dyDescent="0.2">
      <c r="B15" s="42" t="s">
        <v>65</v>
      </c>
      <c r="C15" s="31" t="s">
        <v>66</v>
      </c>
      <c r="D15" s="31" t="s">
        <v>57</v>
      </c>
      <c r="E15" s="31" t="s">
        <v>67</v>
      </c>
      <c r="F15" s="32" t="s">
        <v>68</v>
      </c>
      <c r="G15" s="57">
        <v>16.36</v>
      </c>
      <c r="H15" s="33">
        <v>425.59</v>
      </c>
      <c r="I15" s="33">
        <f t="shared" si="0"/>
        <v>555.39494999999999</v>
      </c>
      <c r="J15" s="33">
        <f>I15*G15</f>
        <v>9086.2613819999988</v>
      </c>
      <c r="K15" s="43">
        <v>3.665699004774771E-3</v>
      </c>
    </row>
    <row r="16" spans="2:12" ht="30" customHeight="1" x14ac:dyDescent="0.2">
      <c r="B16" s="44" t="s">
        <v>69</v>
      </c>
      <c r="C16" s="25" t="s">
        <v>70</v>
      </c>
      <c r="D16" s="25" t="s">
        <v>57</v>
      </c>
      <c r="E16" s="25" t="s">
        <v>71</v>
      </c>
      <c r="F16" s="26" t="s">
        <v>68</v>
      </c>
      <c r="G16" s="58">
        <v>299</v>
      </c>
      <c r="H16" s="27">
        <v>98.21</v>
      </c>
      <c r="I16" s="33">
        <f t="shared" si="0"/>
        <v>128.16404999999997</v>
      </c>
      <c r="J16" s="33">
        <f t="shared" ref="J16:J23" si="2">I16*G16</f>
        <v>38321.05094999999</v>
      </c>
      <c r="K16" s="45">
        <v>1.5459632029205722E-2</v>
      </c>
    </row>
    <row r="17" spans="2:11" ht="30" customHeight="1" x14ac:dyDescent="0.2">
      <c r="B17" s="44" t="s">
        <v>72</v>
      </c>
      <c r="C17" s="25" t="s">
        <v>73</v>
      </c>
      <c r="D17" s="25" t="s">
        <v>57</v>
      </c>
      <c r="E17" s="25" t="s">
        <v>74</v>
      </c>
      <c r="F17" s="26" t="s">
        <v>58</v>
      </c>
      <c r="G17" s="58">
        <v>12</v>
      </c>
      <c r="H17" s="27">
        <v>16.36</v>
      </c>
      <c r="I17" s="33">
        <f t="shared" si="0"/>
        <v>21.349799999999998</v>
      </c>
      <c r="J17" s="33">
        <f t="shared" si="2"/>
        <v>256.19759999999997</v>
      </c>
      <c r="K17" s="45">
        <v>1.0331208507235421E-4</v>
      </c>
    </row>
    <row r="18" spans="2:11" ht="30" customHeight="1" x14ac:dyDescent="0.2">
      <c r="B18" s="44" t="s">
        <v>75</v>
      </c>
      <c r="C18" s="25" t="s">
        <v>76</v>
      </c>
      <c r="D18" s="25" t="s">
        <v>57</v>
      </c>
      <c r="E18" s="25" t="s">
        <v>77</v>
      </c>
      <c r="F18" s="26" t="s">
        <v>1</v>
      </c>
      <c r="G18" s="58">
        <v>8</v>
      </c>
      <c r="H18" s="27">
        <v>40.51</v>
      </c>
      <c r="I18" s="33">
        <f t="shared" si="0"/>
        <v>52.865549999999992</v>
      </c>
      <c r="J18" s="33">
        <f t="shared" si="2"/>
        <v>422.92439999999993</v>
      </c>
      <c r="K18" s="45">
        <v>1.7060533636128219E-4</v>
      </c>
    </row>
    <row r="19" spans="2:11" ht="30" customHeight="1" x14ac:dyDescent="0.2">
      <c r="B19" s="44" t="s">
        <v>78</v>
      </c>
      <c r="C19" s="25" t="s">
        <v>79</v>
      </c>
      <c r="D19" s="25" t="s">
        <v>57</v>
      </c>
      <c r="E19" s="25" t="s">
        <v>80</v>
      </c>
      <c r="F19" s="26" t="s">
        <v>58</v>
      </c>
      <c r="G19" s="58">
        <v>48</v>
      </c>
      <c r="H19" s="27">
        <v>13.05</v>
      </c>
      <c r="I19" s="33">
        <f t="shared" si="0"/>
        <v>17.030249999999999</v>
      </c>
      <c r="J19" s="33">
        <f t="shared" si="2"/>
        <v>817.452</v>
      </c>
      <c r="K19" s="45">
        <v>3.2978534372674642E-4</v>
      </c>
    </row>
    <row r="20" spans="2:11" ht="30" customHeight="1" x14ac:dyDescent="0.2">
      <c r="B20" s="44" t="s">
        <v>81</v>
      </c>
      <c r="C20" s="25" t="s">
        <v>82</v>
      </c>
      <c r="D20" s="25" t="s">
        <v>57</v>
      </c>
      <c r="E20" s="25" t="s">
        <v>83</v>
      </c>
      <c r="F20" s="26" t="s">
        <v>58</v>
      </c>
      <c r="G20" s="58">
        <v>312.12</v>
      </c>
      <c r="H20" s="27">
        <v>6.61</v>
      </c>
      <c r="I20" s="33">
        <f t="shared" si="0"/>
        <v>8.6260499999999993</v>
      </c>
      <c r="J20" s="33">
        <f t="shared" si="2"/>
        <v>2692.3627259999998</v>
      </c>
      <c r="K20" s="45">
        <v>1.085434495175792E-3</v>
      </c>
    </row>
    <row r="21" spans="2:11" ht="30" customHeight="1" x14ac:dyDescent="0.2">
      <c r="B21" s="44" t="s">
        <v>84</v>
      </c>
      <c r="C21" s="25" t="s">
        <v>85</v>
      </c>
      <c r="D21" s="25" t="s">
        <v>57</v>
      </c>
      <c r="E21" s="25" t="s">
        <v>86</v>
      </c>
      <c r="F21" s="26" t="s">
        <v>1</v>
      </c>
      <c r="G21" s="58">
        <v>42</v>
      </c>
      <c r="H21" s="27">
        <v>13.38</v>
      </c>
      <c r="I21" s="33">
        <f t="shared" si="0"/>
        <v>17.460899999999999</v>
      </c>
      <c r="J21" s="33">
        <f t="shared" si="2"/>
        <v>733.3578</v>
      </c>
      <c r="K21" s="45">
        <v>2.9584824361628706E-4</v>
      </c>
    </row>
    <row r="22" spans="2:11" ht="30" customHeight="1" x14ac:dyDescent="0.2">
      <c r="B22" s="44" t="s">
        <v>87</v>
      </c>
      <c r="C22" s="25" t="s">
        <v>88</v>
      </c>
      <c r="D22" s="25" t="s">
        <v>57</v>
      </c>
      <c r="E22" s="25" t="s">
        <v>89</v>
      </c>
      <c r="F22" s="26" t="s">
        <v>7</v>
      </c>
      <c r="G22" s="58">
        <v>62</v>
      </c>
      <c r="H22" s="27">
        <v>26.77</v>
      </c>
      <c r="I22" s="33">
        <f t="shared" si="0"/>
        <v>34.934849999999997</v>
      </c>
      <c r="J22" s="33">
        <f t="shared" si="2"/>
        <v>2165.9606999999996</v>
      </c>
      <c r="K22" s="45">
        <v>8.7370685003824826E-4</v>
      </c>
    </row>
    <row r="23" spans="2:11" ht="30" customHeight="1" x14ac:dyDescent="0.2">
      <c r="B23" s="46" t="s">
        <v>90</v>
      </c>
      <c r="C23" s="28" t="s">
        <v>91</v>
      </c>
      <c r="D23" s="28" t="s">
        <v>57</v>
      </c>
      <c r="E23" s="28" t="s">
        <v>92</v>
      </c>
      <c r="F23" s="29" t="s">
        <v>58</v>
      </c>
      <c r="G23" s="59">
        <v>624.24</v>
      </c>
      <c r="H23" s="30">
        <v>4.71</v>
      </c>
      <c r="I23" s="33">
        <f t="shared" si="0"/>
        <v>6.1465499999999995</v>
      </c>
      <c r="J23" s="33">
        <f t="shared" si="2"/>
        <v>3836.9223719999995</v>
      </c>
      <c r="K23" s="47">
        <v>1.5463045104181169E-3</v>
      </c>
    </row>
    <row r="24" spans="2:11" ht="30" customHeight="1" x14ac:dyDescent="0.2">
      <c r="B24" s="79" t="s">
        <v>93</v>
      </c>
      <c r="C24" s="79"/>
      <c r="D24" s="79"/>
      <c r="E24" s="79" t="s">
        <v>94</v>
      </c>
      <c r="F24" s="79"/>
      <c r="G24" s="80"/>
      <c r="H24" s="81"/>
      <c r="I24" s="81"/>
      <c r="J24" s="82">
        <f>SUM(J25:J26)</f>
        <v>48315.003776999998</v>
      </c>
      <c r="K24" s="83">
        <v>1.9491752469730908E-2</v>
      </c>
    </row>
    <row r="25" spans="2:11" ht="30" customHeight="1" x14ac:dyDescent="0.2">
      <c r="B25" s="42" t="s">
        <v>95</v>
      </c>
      <c r="C25" s="31" t="s">
        <v>96</v>
      </c>
      <c r="D25" s="31" t="s">
        <v>57</v>
      </c>
      <c r="E25" s="31" t="s">
        <v>97</v>
      </c>
      <c r="F25" s="32" t="s">
        <v>68</v>
      </c>
      <c r="G25" s="57">
        <v>158.65</v>
      </c>
      <c r="H25" s="33">
        <v>166.82</v>
      </c>
      <c r="I25" s="33">
        <f>H25*1.305</f>
        <v>217.70009999999999</v>
      </c>
      <c r="J25" s="33">
        <f>I25*G25</f>
        <v>34538.120864999997</v>
      </c>
      <c r="K25" s="43">
        <v>1.3933939102770528E-2</v>
      </c>
    </row>
    <row r="26" spans="2:11" ht="30" customHeight="1" x14ac:dyDescent="0.2">
      <c r="B26" s="46" t="s">
        <v>98</v>
      </c>
      <c r="C26" s="28" t="s">
        <v>99</v>
      </c>
      <c r="D26" s="28" t="s">
        <v>57</v>
      </c>
      <c r="E26" s="28" t="s">
        <v>100</v>
      </c>
      <c r="F26" s="29" t="s">
        <v>68</v>
      </c>
      <c r="G26" s="59">
        <v>91.04</v>
      </c>
      <c r="H26" s="30">
        <v>115.96</v>
      </c>
      <c r="I26" s="33">
        <f>H26*1.305</f>
        <v>151.3278</v>
      </c>
      <c r="J26" s="33">
        <f>I26*G26</f>
        <v>13776.882912000001</v>
      </c>
      <c r="K26" s="47">
        <v>5.5578133669603787E-3</v>
      </c>
    </row>
    <row r="27" spans="2:11" ht="30" customHeight="1" thickBot="1" x14ac:dyDescent="0.25">
      <c r="B27" s="79" t="s">
        <v>101</v>
      </c>
      <c r="C27" s="79"/>
      <c r="D27" s="79"/>
      <c r="E27" s="79" t="s">
        <v>285</v>
      </c>
      <c r="F27" s="79"/>
      <c r="G27" s="80"/>
      <c r="H27" s="81"/>
      <c r="I27" s="81"/>
      <c r="J27" s="82">
        <f>J28+J33+J38+J41+J50+J63+J66+J73+J75+J81+J88</f>
        <v>2186498.5054870001</v>
      </c>
      <c r="K27" s="83">
        <v>0.84388956138210403</v>
      </c>
    </row>
    <row r="28" spans="2:11" ht="30" customHeight="1" thickBot="1" x14ac:dyDescent="0.25">
      <c r="B28" s="37" t="s">
        <v>102</v>
      </c>
      <c r="C28" s="38"/>
      <c r="D28" s="38"/>
      <c r="E28" s="38" t="s">
        <v>103</v>
      </c>
      <c r="F28" s="38"/>
      <c r="G28" s="56"/>
      <c r="H28" s="39"/>
      <c r="I28" s="39"/>
      <c r="J28" s="40">
        <f>SUM(J29:J32)</f>
        <v>520766.53487999999</v>
      </c>
      <c r="K28" s="41">
        <v>0.17802666445863038</v>
      </c>
    </row>
    <row r="29" spans="2:11" ht="30" customHeight="1" x14ac:dyDescent="0.2">
      <c r="B29" s="42" t="s">
        <v>104</v>
      </c>
      <c r="C29" s="31" t="s">
        <v>105</v>
      </c>
      <c r="D29" s="28" t="s">
        <v>57</v>
      </c>
      <c r="E29" s="31" t="s">
        <v>380</v>
      </c>
      <c r="F29" s="32" t="s">
        <v>1</v>
      </c>
      <c r="G29" s="57">
        <v>12</v>
      </c>
      <c r="H29" s="33">
        <v>1727</v>
      </c>
      <c r="I29" s="33">
        <f>H29*1.305</f>
        <v>2253.7349999999997</v>
      </c>
      <c r="J29" s="33">
        <f>I29*G29</f>
        <v>27044.819999999996</v>
      </c>
      <c r="K29" s="43">
        <v>1.0423192088133955E-4</v>
      </c>
    </row>
    <row r="30" spans="2:11" s="5" customFormat="1" ht="30" customHeight="1" x14ac:dyDescent="0.2">
      <c r="B30" s="44" t="s">
        <v>106</v>
      </c>
      <c r="C30" s="25" t="s">
        <v>107</v>
      </c>
      <c r="D30" s="25" t="s">
        <v>57</v>
      </c>
      <c r="E30" s="25" t="s">
        <v>108</v>
      </c>
      <c r="F30" s="26" t="s">
        <v>68</v>
      </c>
      <c r="G30" s="58">
        <v>73.5</v>
      </c>
      <c r="H30" s="27">
        <v>4323</v>
      </c>
      <c r="I30" s="33">
        <f t="shared" ref="I30:I32" si="3">H30*1.305</f>
        <v>5641.5149999999994</v>
      </c>
      <c r="J30" s="33">
        <f t="shared" ref="J30:J32" si="4">I30*G30</f>
        <v>414651.35249999998</v>
      </c>
      <c r="K30" s="45">
        <v>0.16728544720827493</v>
      </c>
    </row>
    <row r="31" spans="2:11" ht="30" customHeight="1" x14ac:dyDescent="0.2">
      <c r="B31" s="44" t="s">
        <v>109</v>
      </c>
      <c r="C31" s="25" t="s">
        <v>110</v>
      </c>
      <c r="D31" s="31" t="s">
        <v>57</v>
      </c>
      <c r="E31" s="31" t="s">
        <v>118</v>
      </c>
      <c r="F31" s="26" t="s">
        <v>68</v>
      </c>
      <c r="G31" s="58">
        <v>10.8</v>
      </c>
      <c r="H31" s="27">
        <v>4719.33</v>
      </c>
      <c r="I31" s="33">
        <f t="shared" si="3"/>
        <v>6158.7256499999994</v>
      </c>
      <c r="J31" s="33">
        <f t="shared" si="4"/>
        <v>66514.23702</v>
      </c>
      <c r="K31" s="45">
        <v>7.9795796773154664E-3</v>
      </c>
    </row>
    <row r="32" spans="2:11" ht="30" customHeight="1" thickBot="1" x14ac:dyDescent="0.25">
      <c r="B32" s="46" t="s">
        <v>111</v>
      </c>
      <c r="C32" s="28" t="s">
        <v>112</v>
      </c>
      <c r="D32" s="28" t="s">
        <v>113</v>
      </c>
      <c r="E32" s="28" t="s">
        <v>114</v>
      </c>
      <c r="F32" s="29" t="s">
        <v>58</v>
      </c>
      <c r="G32" s="59">
        <v>391.12</v>
      </c>
      <c r="H32" s="30">
        <v>24.6</v>
      </c>
      <c r="I32" s="33">
        <f t="shared" si="3"/>
        <v>32.103000000000002</v>
      </c>
      <c r="J32" s="33">
        <f t="shared" si="4"/>
        <v>12556.12536</v>
      </c>
      <c r="K32" s="47">
        <v>2.6574056521586667E-3</v>
      </c>
    </row>
    <row r="33" spans="2:12" ht="30" customHeight="1" thickBot="1" x14ac:dyDescent="0.25">
      <c r="B33" s="37" t="s">
        <v>115</v>
      </c>
      <c r="C33" s="38"/>
      <c r="D33" s="38"/>
      <c r="E33" s="38" t="s">
        <v>8</v>
      </c>
      <c r="F33" s="38"/>
      <c r="G33" s="56"/>
      <c r="H33" s="39"/>
      <c r="I33" s="39"/>
      <c r="J33" s="40">
        <f>SUM(J34:J37)</f>
        <v>609556.52642850007</v>
      </c>
      <c r="K33" s="41">
        <v>0.23995697040360509</v>
      </c>
    </row>
    <row r="34" spans="2:12" ht="30" customHeight="1" x14ac:dyDescent="0.2">
      <c r="B34" s="42" t="s">
        <v>116</v>
      </c>
      <c r="C34" s="31" t="s">
        <v>117</v>
      </c>
      <c r="D34" s="31" t="s">
        <v>57</v>
      </c>
      <c r="E34" s="31" t="s">
        <v>118</v>
      </c>
      <c r="F34" s="32" t="s">
        <v>68</v>
      </c>
      <c r="G34" s="57">
        <v>42.96</v>
      </c>
      <c r="H34" s="33">
        <v>4719.33</v>
      </c>
      <c r="I34" s="27">
        <f>H34*1.305</f>
        <v>6158.7256499999994</v>
      </c>
      <c r="J34" s="27">
        <f>I34*G34</f>
        <v>264578.853924</v>
      </c>
      <c r="K34" s="43">
        <v>0.10674073674103883</v>
      </c>
    </row>
    <row r="35" spans="2:12" ht="30" customHeight="1" x14ac:dyDescent="0.2">
      <c r="B35" s="44" t="s">
        <v>119</v>
      </c>
      <c r="C35" s="89" t="s">
        <v>381</v>
      </c>
      <c r="D35" s="25" t="s">
        <v>113</v>
      </c>
      <c r="E35" s="25" t="s">
        <v>382</v>
      </c>
      <c r="F35" s="26" t="s">
        <v>58</v>
      </c>
      <c r="G35" s="58">
        <f>G36</f>
        <v>624.19000000000005</v>
      </c>
      <c r="H35" s="27">
        <v>37.1</v>
      </c>
      <c r="I35" s="27">
        <f>H35*1.305</f>
        <v>48.415500000000002</v>
      </c>
      <c r="J35" s="27">
        <f>I35*G35</f>
        <v>30220.470945000005</v>
      </c>
      <c r="K35" s="45">
        <v>6.2354015400407515E-3</v>
      </c>
    </row>
    <row r="36" spans="2:12" s="5" customFormat="1" ht="30" customHeight="1" x14ac:dyDescent="0.2">
      <c r="B36" s="44" t="s">
        <v>120</v>
      </c>
      <c r="C36" s="25" t="s">
        <v>121</v>
      </c>
      <c r="D36" s="25" t="s">
        <v>57</v>
      </c>
      <c r="E36" s="25" t="s">
        <v>122</v>
      </c>
      <c r="F36" s="26" t="s">
        <v>58</v>
      </c>
      <c r="G36" s="58">
        <v>624.19000000000005</v>
      </c>
      <c r="H36" s="27">
        <v>203.4</v>
      </c>
      <c r="I36" s="27">
        <f t="shared" ref="I36:I37" si="5">H36*1.305</f>
        <v>265.43700000000001</v>
      </c>
      <c r="J36" s="27">
        <f t="shared" ref="J36:J37" si="6">I36*G36</f>
        <v>165683.12103000001</v>
      </c>
      <c r="K36" s="45">
        <v>6.6840897823653947E-2</v>
      </c>
    </row>
    <row r="37" spans="2:12" ht="30" customHeight="1" thickBot="1" x14ac:dyDescent="0.25">
      <c r="B37" s="46" t="s">
        <v>123</v>
      </c>
      <c r="C37" s="28" t="s">
        <v>124</v>
      </c>
      <c r="D37" s="28" t="s">
        <v>57</v>
      </c>
      <c r="E37" s="28" t="s">
        <v>125</v>
      </c>
      <c r="F37" s="29" t="s">
        <v>58</v>
      </c>
      <c r="G37" s="59">
        <v>624.19000000000005</v>
      </c>
      <c r="H37" s="30">
        <v>183.01</v>
      </c>
      <c r="I37" s="27">
        <f t="shared" si="5"/>
        <v>238.82804999999999</v>
      </c>
      <c r="J37" s="27">
        <f t="shared" si="6"/>
        <v>149074.0805295</v>
      </c>
      <c r="K37" s="47">
        <v>6.0139934298871531E-2</v>
      </c>
    </row>
    <row r="38" spans="2:12" ht="30" customHeight="1" thickBot="1" x14ac:dyDescent="0.25">
      <c r="B38" s="37" t="s">
        <v>126</v>
      </c>
      <c r="C38" s="38"/>
      <c r="D38" s="38"/>
      <c r="E38" s="38" t="s">
        <v>0</v>
      </c>
      <c r="F38" s="38"/>
      <c r="G38" s="56"/>
      <c r="H38" s="39"/>
      <c r="I38" s="39"/>
      <c r="J38" s="40">
        <f>SUM(J39:J40)</f>
        <v>245869.02285750001</v>
      </c>
      <c r="K38" s="41">
        <v>9.9192475336418243E-2</v>
      </c>
    </row>
    <row r="39" spans="2:12" ht="30" customHeight="1" x14ac:dyDescent="0.2">
      <c r="B39" s="42" t="s">
        <v>127</v>
      </c>
      <c r="C39" s="31" t="s">
        <v>128</v>
      </c>
      <c r="D39" s="31" t="s">
        <v>57</v>
      </c>
      <c r="E39" s="31" t="s">
        <v>129</v>
      </c>
      <c r="F39" s="32" t="s">
        <v>58</v>
      </c>
      <c r="G39" s="57">
        <v>906.41</v>
      </c>
      <c r="H39" s="33">
        <v>153.05000000000001</v>
      </c>
      <c r="I39" s="33">
        <f>H39*1.305</f>
        <v>199.73025000000001</v>
      </c>
      <c r="J39" s="33">
        <f>I39*G39</f>
        <v>181037.4959025</v>
      </c>
      <c r="K39" s="43">
        <v>7.303708531078533E-2</v>
      </c>
    </row>
    <row r="40" spans="2:12" ht="30" customHeight="1" thickBot="1" x14ac:dyDescent="0.25">
      <c r="B40" s="46" t="s">
        <v>130</v>
      </c>
      <c r="C40" s="28" t="s">
        <v>131</v>
      </c>
      <c r="D40" s="28" t="s">
        <v>57</v>
      </c>
      <c r="E40" s="28" t="s">
        <v>132</v>
      </c>
      <c r="F40" s="29" t="s">
        <v>58</v>
      </c>
      <c r="G40" s="59">
        <v>53.3</v>
      </c>
      <c r="H40" s="30">
        <v>932.07</v>
      </c>
      <c r="I40" s="33">
        <f>H40*1.305</f>
        <v>1216.3513499999999</v>
      </c>
      <c r="J40" s="33">
        <f>I40*G40</f>
        <v>64831.526954999994</v>
      </c>
      <c r="K40" s="47">
        <v>2.615539002563292E-2</v>
      </c>
    </row>
    <row r="41" spans="2:12" ht="30" customHeight="1" thickBot="1" x14ac:dyDescent="0.25">
      <c r="B41" s="37" t="s">
        <v>133</v>
      </c>
      <c r="C41" s="38"/>
      <c r="D41" s="38"/>
      <c r="E41" s="38" t="s">
        <v>134</v>
      </c>
      <c r="F41" s="38"/>
      <c r="G41" s="56"/>
      <c r="H41" s="39"/>
      <c r="I41" s="39"/>
      <c r="J41" s="40">
        <f>SUM(J42:J49)</f>
        <v>68841.105263999998</v>
      </c>
      <c r="K41" s="41">
        <f>SUM(K42:K49)</f>
        <v>2.7132000399247864E-2</v>
      </c>
    </row>
    <row r="42" spans="2:12" ht="30" customHeight="1" x14ac:dyDescent="0.2">
      <c r="B42" s="42" t="s">
        <v>135</v>
      </c>
      <c r="C42" s="31" t="s">
        <v>136</v>
      </c>
      <c r="D42" s="31" t="s">
        <v>57</v>
      </c>
      <c r="E42" s="31" t="s">
        <v>137</v>
      </c>
      <c r="F42" s="32" t="s">
        <v>7</v>
      </c>
      <c r="G42" s="57">
        <v>50</v>
      </c>
      <c r="H42" s="33">
        <v>627.84</v>
      </c>
      <c r="I42" s="27">
        <f t="shared" ref="I42:I44" si="7">H42*1.305</f>
        <v>819.33119999999997</v>
      </c>
      <c r="J42" s="27">
        <f t="shared" ref="J42:J44" si="8">I42*G42</f>
        <v>40966.559999999998</v>
      </c>
      <c r="K42" s="43">
        <v>1.6527391959999214E-2</v>
      </c>
      <c r="L42" s="90"/>
    </row>
    <row r="43" spans="2:12" ht="30" customHeight="1" x14ac:dyDescent="0.2">
      <c r="B43" s="42" t="s">
        <v>383</v>
      </c>
      <c r="C43" s="25">
        <v>180105</v>
      </c>
      <c r="D43" s="31" t="s">
        <v>57</v>
      </c>
      <c r="E43" s="25" t="s">
        <v>302</v>
      </c>
      <c r="F43" s="26" t="s">
        <v>3</v>
      </c>
      <c r="G43" s="58">
        <v>120</v>
      </c>
      <c r="H43" s="27">
        <v>20.8</v>
      </c>
      <c r="I43" s="27">
        <f t="shared" si="7"/>
        <v>27.143999999999998</v>
      </c>
      <c r="J43" s="27">
        <f t="shared" si="8"/>
        <v>3257.2799999999997</v>
      </c>
      <c r="K43" s="45">
        <v>1.0035771769112626E-3</v>
      </c>
    </row>
    <row r="44" spans="2:12" ht="30" customHeight="1" x14ac:dyDescent="0.2">
      <c r="B44" s="42" t="s">
        <v>384</v>
      </c>
      <c r="C44" s="25">
        <v>180423</v>
      </c>
      <c r="D44" s="25" t="s">
        <v>57</v>
      </c>
      <c r="E44" s="25" t="s">
        <v>303</v>
      </c>
      <c r="F44" s="26" t="s">
        <v>3</v>
      </c>
      <c r="G44" s="58">
        <v>58</v>
      </c>
      <c r="H44" s="27">
        <v>45.58</v>
      </c>
      <c r="I44" s="27">
        <f t="shared" si="7"/>
        <v>59.481899999999996</v>
      </c>
      <c r="J44" s="27">
        <f t="shared" si="8"/>
        <v>3449.9501999999998</v>
      </c>
      <c r="K44" s="45">
        <f>J44/J27</f>
        <v>1.5778424688342471E-3</v>
      </c>
    </row>
    <row r="45" spans="2:12" ht="30" customHeight="1" x14ac:dyDescent="0.2">
      <c r="B45" s="42" t="s">
        <v>385</v>
      </c>
      <c r="C45" s="25">
        <v>180103</v>
      </c>
      <c r="D45" s="25" t="s">
        <v>57</v>
      </c>
      <c r="E45" s="25" t="s">
        <v>373</v>
      </c>
      <c r="F45" s="26" t="s">
        <v>3</v>
      </c>
      <c r="G45" s="58">
        <v>80</v>
      </c>
      <c r="H45" s="27">
        <v>6.8</v>
      </c>
      <c r="I45" s="27">
        <f>H45*1.305</f>
        <v>8.8739999999999988</v>
      </c>
      <c r="J45" s="27">
        <f>I45*G45</f>
        <v>709.91999999999985</v>
      </c>
      <c r="K45" s="45">
        <f>J45/J27</f>
        <v>3.2468350571402695E-4</v>
      </c>
    </row>
    <row r="46" spans="2:12" ht="30" customHeight="1" x14ac:dyDescent="0.2">
      <c r="B46" s="42" t="s">
        <v>386</v>
      </c>
      <c r="C46" s="25">
        <v>180102</v>
      </c>
      <c r="D46" s="25" t="s">
        <v>57</v>
      </c>
      <c r="E46" s="25" t="s">
        <v>301</v>
      </c>
      <c r="F46" s="26" t="s">
        <v>3</v>
      </c>
      <c r="G46" s="58">
        <v>163.36000000000001</v>
      </c>
      <c r="H46" s="27">
        <v>43.18</v>
      </c>
      <c r="I46" s="27">
        <f t="shared" ref="I46:I49" si="9">H46*1.305</f>
        <v>56.349899999999998</v>
      </c>
      <c r="J46" s="27">
        <f t="shared" ref="J46:J49" si="10">I46*G46</f>
        <v>9205.3196640000006</v>
      </c>
      <c r="K46" s="45">
        <v>3.8646941858195174E-3</v>
      </c>
    </row>
    <row r="47" spans="2:12" s="5" customFormat="1" ht="30" customHeight="1" x14ac:dyDescent="0.2">
      <c r="B47" s="42" t="s">
        <v>387</v>
      </c>
      <c r="C47" s="25">
        <v>180413</v>
      </c>
      <c r="D47" s="25" t="s">
        <v>57</v>
      </c>
      <c r="E47" s="25" t="s">
        <v>390</v>
      </c>
      <c r="F47" s="26" t="s">
        <v>1</v>
      </c>
      <c r="G47" s="58">
        <v>8</v>
      </c>
      <c r="H47" s="27">
        <v>407.48</v>
      </c>
      <c r="I47" s="27">
        <f t="shared" si="9"/>
        <v>531.76139999999998</v>
      </c>
      <c r="J47" s="27">
        <f t="shared" si="10"/>
        <v>4254.0911999999998</v>
      </c>
      <c r="K47" s="45">
        <v>1.5663190079987146E-3</v>
      </c>
    </row>
    <row r="48" spans="2:12" ht="30" customHeight="1" x14ac:dyDescent="0.2">
      <c r="B48" s="42" t="s">
        <v>388</v>
      </c>
      <c r="C48" s="25" t="s">
        <v>138</v>
      </c>
      <c r="D48" s="25" t="s">
        <v>57</v>
      </c>
      <c r="E48" s="25" t="s">
        <v>139</v>
      </c>
      <c r="F48" s="26" t="s">
        <v>1</v>
      </c>
      <c r="G48" s="58">
        <v>6</v>
      </c>
      <c r="H48" s="27">
        <v>382.35</v>
      </c>
      <c r="I48" s="27">
        <f t="shared" si="9"/>
        <v>498.96674999999999</v>
      </c>
      <c r="J48" s="27">
        <f t="shared" si="10"/>
        <v>2993.8004999999998</v>
      </c>
      <c r="K48" s="45">
        <v>1.2077928296087594E-3</v>
      </c>
    </row>
    <row r="49" spans="2:11" ht="30" customHeight="1" thickBot="1" x14ac:dyDescent="0.25">
      <c r="B49" s="42" t="s">
        <v>389</v>
      </c>
      <c r="C49" s="28">
        <v>180679</v>
      </c>
      <c r="D49" s="25" t="s">
        <v>57</v>
      </c>
      <c r="E49" s="25" t="s">
        <v>391</v>
      </c>
      <c r="F49" s="29" t="s">
        <v>1</v>
      </c>
      <c r="G49" s="59">
        <v>6</v>
      </c>
      <c r="H49" s="30">
        <v>511.39</v>
      </c>
      <c r="I49" s="27">
        <f t="shared" si="9"/>
        <v>667.36394999999993</v>
      </c>
      <c r="J49" s="27">
        <f t="shared" si="10"/>
        <v>4004.1836999999996</v>
      </c>
      <c r="K49" s="47">
        <v>1.0596992643621187E-3</v>
      </c>
    </row>
    <row r="50" spans="2:11" ht="30" customHeight="1" thickBot="1" x14ac:dyDescent="0.25">
      <c r="B50" s="37" t="s">
        <v>140</v>
      </c>
      <c r="C50" s="38"/>
      <c r="D50" s="38"/>
      <c r="E50" s="38" t="s">
        <v>141</v>
      </c>
      <c r="F50" s="38"/>
      <c r="G50" s="56"/>
      <c r="H50" s="39"/>
      <c r="I50" s="39"/>
      <c r="J50" s="40">
        <v>36566.32</v>
      </c>
      <c r="K50" s="41">
        <v>1.4752197604744326E-2</v>
      </c>
    </row>
    <row r="51" spans="2:11" ht="30" customHeight="1" x14ac:dyDescent="0.2">
      <c r="B51" s="42" t="s">
        <v>142</v>
      </c>
      <c r="C51" s="31" t="s">
        <v>143</v>
      </c>
      <c r="D51" s="31" t="s">
        <v>57</v>
      </c>
      <c r="E51" s="31" t="s">
        <v>144</v>
      </c>
      <c r="F51" s="32" t="s">
        <v>7</v>
      </c>
      <c r="G51" s="57">
        <v>50</v>
      </c>
      <c r="H51" s="33">
        <v>500.09</v>
      </c>
      <c r="I51" s="27">
        <f>H51*1.305</f>
        <v>652.61744999999996</v>
      </c>
      <c r="J51" s="30">
        <f t="shared" ref="J51:J61" si="11">I51*G51</f>
        <v>32630.872499999998</v>
      </c>
      <c r="K51" s="43">
        <v>1.316434314258612E-2</v>
      </c>
    </row>
    <row r="52" spans="2:11" ht="30" customHeight="1" x14ac:dyDescent="0.2">
      <c r="B52" s="44" t="s">
        <v>145</v>
      </c>
      <c r="C52" s="25">
        <v>180108</v>
      </c>
      <c r="D52" s="31" t="s">
        <v>57</v>
      </c>
      <c r="E52" s="25" t="s">
        <v>403</v>
      </c>
      <c r="F52" s="26" t="s">
        <v>3</v>
      </c>
      <c r="G52" s="58">
        <v>32.6</v>
      </c>
      <c r="H52" s="27">
        <v>45</v>
      </c>
      <c r="I52" s="27">
        <f>H52*1.305</f>
        <v>58.724999999999994</v>
      </c>
      <c r="J52" s="30">
        <f t="shared" si="11"/>
        <v>1914.4349999999999</v>
      </c>
      <c r="K52" s="45">
        <v>2.2358465146477157E-4</v>
      </c>
    </row>
    <row r="53" spans="2:11" ht="30" customHeight="1" x14ac:dyDescent="0.2">
      <c r="B53" s="44" t="s">
        <v>146</v>
      </c>
      <c r="C53" s="25">
        <v>89508</v>
      </c>
      <c r="D53" s="25" t="s">
        <v>175</v>
      </c>
      <c r="E53" s="25" t="s">
        <v>147</v>
      </c>
      <c r="F53" s="26" t="s">
        <v>3</v>
      </c>
      <c r="G53" s="58">
        <v>25.63</v>
      </c>
      <c r="H53" s="27">
        <v>18.5</v>
      </c>
      <c r="I53" s="27">
        <f t="shared" ref="I53:I80" si="12">H53*1.305</f>
        <v>24.142499999999998</v>
      </c>
      <c r="J53" s="30">
        <f t="shared" si="11"/>
        <v>618.77227499999992</v>
      </c>
      <c r="K53" s="45">
        <v>4.1256653216784436E-4</v>
      </c>
    </row>
    <row r="54" spans="2:11" s="5" customFormat="1" ht="30" customHeight="1" x14ac:dyDescent="0.2">
      <c r="B54" s="44" t="s">
        <v>148</v>
      </c>
      <c r="C54" s="25">
        <v>89509</v>
      </c>
      <c r="D54" s="25" t="s">
        <v>175</v>
      </c>
      <c r="E54" s="25" t="s">
        <v>149</v>
      </c>
      <c r="F54" s="26" t="s">
        <v>3</v>
      </c>
      <c r="G54" s="58">
        <v>18.63</v>
      </c>
      <c r="H54" s="27">
        <v>25</v>
      </c>
      <c r="I54" s="27">
        <f t="shared" si="12"/>
        <v>32.625</v>
      </c>
      <c r="J54" s="30">
        <f t="shared" si="11"/>
        <v>607.80374999999992</v>
      </c>
      <c r="K54" s="45">
        <v>3.3062852655164963E-4</v>
      </c>
    </row>
    <row r="55" spans="2:11" ht="30" customHeight="1" x14ac:dyDescent="0.2">
      <c r="B55" s="44" t="s">
        <v>150</v>
      </c>
      <c r="C55" s="25" t="s">
        <v>151</v>
      </c>
      <c r="D55" s="25" t="s">
        <v>113</v>
      </c>
      <c r="E55" s="25" t="s">
        <v>152</v>
      </c>
      <c r="F55" s="26" t="s">
        <v>153</v>
      </c>
      <c r="G55" s="58">
        <v>2</v>
      </c>
      <c r="H55" s="27">
        <v>81.61</v>
      </c>
      <c r="I55" s="27">
        <f t="shared" si="12"/>
        <v>106.50104999999999</v>
      </c>
      <c r="J55" s="30">
        <f t="shared" si="11"/>
        <v>213.00209999999998</v>
      </c>
      <c r="K55" s="45">
        <v>8.5932029523631075E-5</v>
      </c>
    </row>
    <row r="56" spans="2:11" ht="30" customHeight="1" x14ac:dyDescent="0.2">
      <c r="B56" s="44" t="s">
        <v>154</v>
      </c>
      <c r="C56" s="25">
        <v>94767</v>
      </c>
      <c r="D56" s="25" t="s">
        <v>175</v>
      </c>
      <c r="E56" s="25" t="s">
        <v>155</v>
      </c>
      <c r="F56" s="26" t="s">
        <v>1</v>
      </c>
      <c r="G56" s="58">
        <v>2</v>
      </c>
      <c r="H56" s="27">
        <v>56</v>
      </c>
      <c r="I56" s="27">
        <f t="shared" si="12"/>
        <v>73.08</v>
      </c>
      <c r="J56" s="30">
        <f t="shared" si="11"/>
        <v>146.16</v>
      </c>
      <c r="K56" s="45">
        <v>6.7962956307750664E-5</v>
      </c>
    </row>
    <row r="57" spans="2:11" ht="30" customHeight="1" x14ac:dyDescent="0.2">
      <c r="B57" s="44" t="s">
        <v>156</v>
      </c>
      <c r="C57" s="25" t="s">
        <v>157</v>
      </c>
      <c r="D57" s="25" t="s">
        <v>57</v>
      </c>
      <c r="E57" s="25" t="s">
        <v>158</v>
      </c>
      <c r="F57" s="26" t="s">
        <v>3</v>
      </c>
      <c r="G57" s="58">
        <v>6</v>
      </c>
      <c r="H57" s="27">
        <v>20.11</v>
      </c>
      <c r="I57" s="27">
        <f t="shared" si="12"/>
        <v>26.243549999999999</v>
      </c>
      <c r="J57" s="30">
        <f t="shared" si="11"/>
        <v>157.46129999999999</v>
      </c>
      <c r="K57" s="45">
        <v>6.351708323098815E-5</v>
      </c>
    </row>
    <row r="58" spans="2:11" ht="30" customHeight="1" x14ac:dyDescent="0.2">
      <c r="B58" s="44" t="s">
        <v>159</v>
      </c>
      <c r="C58" s="25" t="s">
        <v>160</v>
      </c>
      <c r="D58" s="25" t="s">
        <v>57</v>
      </c>
      <c r="E58" s="25" t="s">
        <v>161</v>
      </c>
      <c r="F58" s="26" t="s">
        <v>1</v>
      </c>
      <c r="G58" s="58">
        <v>6</v>
      </c>
      <c r="H58" s="27">
        <v>17.690000000000001</v>
      </c>
      <c r="I58" s="27">
        <f t="shared" si="12"/>
        <v>23.085450000000002</v>
      </c>
      <c r="J58" s="30">
        <f t="shared" si="11"/>
        <v>138.5127</v>
      </c>
      <c r="K58" s="45">
        <v>5.5867922293110006E-5</v>
      </c>
    </row>
    <row r="59" spans="2:11" s="5" customFormat="1" ht="30" customHeight="1" x14ac:dyDescent="0.2">
      <c r="B59" s="44" t="s">
        <v>162</v>
      </c>
      <c r="C59" s="25" t="s">
        <v>163</v>
      </c>
      <c r="D59" s="25" t="s">
        <v>57</v>
      </c>
      <c r="E59" s="25" t="s">
        <v>164</v>
      </c>
      <c r="F59" s="26" t="s">
        <v>1</v>
      </c>
      <c r="G59" s="58">
        <v>8</v>
      </c>
      <c r="H59" s="27">
        <v>14.24</v>
      </c>
      <c r="I59" s="27">
        <f t="shared" si="12"/>
        <v>18.583199999999998</v>
      </c>
      <c r="J59" s="30">
        <f t="shared" si="11"/>
        <v>148.66559999999998</v>
      </c>
      <c r="K59" s="45">
        <v>5.9966839757711375E-5</v>
      </c>
    </row>
    <row r="60" spans="2:11" ht="30" customHeight="1" x14ac:dyDescent="0.2">
      <c r="B60" s="44" t="s">
        <v>165</v>
      </c>
      <c r="C60" s="25" t="s">
        <v>166</v>
      </c>
      <c r="D60" s="25" t="s">
        <v>57</v>
      </c>
      <c r="E60" s="25" t="s">
        <v>167</v>
      </c>
      <c r="F60" s="26" t="s">
        <v>1</v>
      </c>
      <c r="G60" s="58">
        <v>8</v>
      </c>
      <c r="H60" s="27">
        <v>8.94</v>
      </c>
      <c r="I60" s="27">
        <f t="shared" si="12"/>
        <v>11.666699999999999</v>
      </c>
      <c r="J60" s="30">
        <f t="shared" si="11"/>
        <v>93.33359999999999</v>
      </c>
      <c r="K60" s="45">
        <v>3.7632580816733835E-5</v>
      </c>
    </row>
    <row r="61" spans="2:11" ht="30" customHeight="1" x14ac:dyDescent="0.2">
      <c r="B61" s="44" t="s">
        <v>168</v>
      </c>
      <c r="C61" s="25" t="s">
        <v>169</v>
      </c>
      <c r="D61" s="25" t="s">
        <v>57</v>
      </c>
      <c r="E61" s="25" t="s">
        <v>170</v>
      </c>
      <c r="F61" s="26" t="s">
        <v>1</v>
      </c>
      <c r="G61" s="58">
        <v>8</v>
      </c>
      <c r="H61" s="27">
        <v>7.8</v>
      </c>
      <c r="I61" s="27">
        <f t="shared" si="12"/>
        <v>10.178999999999998</v>
      </c>
      <c r="J61" s="30">
        <f t="shared" si="11"/>
        <v>81.431999999999988</v>
      </c>
      <c r="K61" s="45">
        <v>3.2823614657477111E-5</v>
      </c>
    </row>
    <row r="62" spans="2:11" ht="30" customHeight="1" thickBot="1" x14ac:dyDescent="0.25">
      <c r="B62" s="46" t="s">
        <v>171</v>
      </c>
      <c r="C62" s="28">
        <v>180440</v>
      </c>
      <c r="D62" s="25" t="s">
        <v>57</v>
      </c>
      <c r="E62" s="28" t="s">
        <v>392</v>
      </c>
      <c r="F62" s="29" t="s">
        <v>1</v>
      </c>
      <c r="G62" s="59">
        <v>3</v>
      </c>
      <c r="H62" s="30">
        <v>133.46</v>
      </c>
      <c r="I62" s="27">
        <f t="shared" si="12"/>
        <v>174.1653</v>
      </c>
      <c r="J62" s="30">
        <f>I62*G62</f>
        <v>522.49590000000001</v>
      </c>
      <c r="K62" s="47">
        <v>2.1737172538653719E-4</v>
      </c>
    </row>
    <row r="63" spans="2:11" ht="30" customHeight="1" thickBot="1" x14ac:dyDescent="0.25">
      <c r="B63" s="37" t="s">
        <v>172</v>
      </c>
      <c r="C63" s="38"/>
      <c r="D63" s="38"/>
      <c r="E63" s="38" t="s">
        <v>4</v>
      </c>
      <c r="F63" s="38"/>
      <c r="G63" s="56"/>
      <c r="H63" s="39"/>
      <c r="I63" s="39"/>
      <c r="J63" s="40">
        <f>SUM(J64:J65)</f>
        <v>242387.50536000004</v>
      </c>
      <c r="K63" s="41">
        <v>4.2759459175919744E-2</v>
      </c>
    </row>
    <row r="64" spans="2:11" ht="56.25" customHeight="1" x14ac:dyDescent="0.2">
      <c r="B64" s="42" t="s">
        <v>173</v>
      </c>
      <c r="C64" s="31" t="s">
        <v>174</v>
      </c>
      <c r="D64" s="31" t="s">
        <v>175</v>
      </c>
      <c r="E64" s="31" t="s">
        <v>176</v>
      </c>
      <c r="F64" s="32" t="s">
        <v>58</v>
      </c>
      <c r="G64" s="57">
        <v>609.44000000000005</v>
      </c>
      <c r="H64" s="33">
        <v>46.55</v>
      </c>
      <c r="I64" s="27">
        <f t="shared" si="12"/>
        <v>60.747749999999996</v>
      </c>
      <c r="J64" s="33">
        <f>I64*G64</f>
        <v>37022.108760000003</v>
      </c>
      <c r="K64" s="43">
        <v>1.493417178895526E-2</v>
      </c>
    </row>
    <row r="65" spans="2:11" ht="69.75" customHeight="1" thickBot="1" x14ac:dyDescent="0.25">
      <c r="B65" s="44" t="s">
        <v>177</v>
      </c>
      <c r="C65" s="25" t="s">
        <v>178</v>
      </c>
      <c r="D65" s="25" t="s">
        <v>175</v>
      </c>
      <c r="E65" s="25" t="s">
        <v>179</v>
      </c>
      <c r="F65" s="26" t="s">
        <v>58</v>
      </c>
      <c r="G65" s="58">
        <f>2*546</f>
        <v>1092</v>
      </c>
      <c r="H65" s="27">
        <v>144.11000000000001</v>
      </c>
      <c r="I65" s="27">
        <f t="shared" si="12"/>
        <v>188.06355000000002</v>
      </c>
      <c r="J65" s="33">
        <f t="shared" ref="J65" si="13">I65*G65</f>
        <v>205365.39660000004</v>
      </c>
      <c r="K65" s="45">
        <v>5.0044030280930281E-3</v>
      </c>
    </row>
    <row r="66" spans="2:11" ht="30" customHeight="1" thickBot="1" x14ac:dyDescent="0.25">
      <c r="B66" s="37" t="s">
        <v>180</v>
      </c>
      <c r="C66" s="38"/>
      <c r="D66" s="38"/>
      <c r="E66" s="38" t="s">
        <v>420</v>
      </c>
      <c r="F66" s="38"/>
      <c r="G66" s="56"/>
      <c r="H66" s="39"/>
      <c r="I66" s="39"/>
      <c r="J66" s="40">
        <f>SUM(J67:J72)</f>
        <v>250975.08526499997</v>
      </c>
      <c r="K66" s="41">
        <v>0.10372612011432236</v>
      </c>
    </row>
    <row r="67" spans="2:11" ht="15" x14ac:dyDescent="0.2">
      <c r="B67" s="42" t="s">
        <v>181</v>
      </c>
      <c r="C67" s="31" t="s">
        <v>182</v>
      </c>
      <c r="D67" s="31" t="s">
        <v>57</v>
      </c>
      <c r="E67" s="31" t="s">
        <v>183</v>
      </c>
      <c r="F67" s="32" t="s">
        <v>58</v>
      </c>
      <c r="G67" s="57">
        <v>906.41</v>
      </c>
      <c r="H67" s="33">
        <v>48.17</v>
      </c>
      <c r="I67" s="27">
        <f t="shared" si="12"/>
        <v>62.861849999999997</v>
      </c>
      <c r="J67" s="33">
        <f>I67*G67</f>
        <v>56978.609458499996</v>
      </c>
      <c r="K67" s="43">
        <v>2.2986587938619067E-2</v>
      </c>
    </row>
    <row r="68" spans="2:11" ht="15" x14ac:dyDescent="0.2">
      <c r="B68" s="44" t="s">
        <v>184</v>
      </c>
      <c r="C68" s="25" t="s">
        <v>185</v>
      </c>
      <c r="D68" s="25" t="s">
        <v>57</v>
      </c>
      <c r="E68" s="25" t="s">
        <v>186</v>
      </c>
      <c r="F68" s="26" t="s">
        <v>58</v>
      </c>
      <c r="G68" s="58">
        <v>906.41</v>
      </c>
      <c r="H68" s="27">
        <v>70.900000000000006</v>
      </c>
      <c r="I68" s="27">
        <f t="shared" si="12"/>
        <v>92.524500000000003</v>
      </c>
      <c r="J68" s="33">
        <f t="shared" ref="J68:J72" si="14">I68*G68</f>
        <v>83865.132045000006</v>
      </c>
      <c r="K68" s="45">
        <v>3.3832630161890621E-2</v>
      </c>
    </row>
    <row r="69" spans="2:11" ht="15" x14ac:dyDescent="0.2">
      <c r="B69" s="44" t="s">
        <v>187</v>
      </c>
      <c r="C69" s="25" t="s">
        <v>188</v>
      </c>
      <c r="D69" s="25" t="s">
        <v>57</v>
      </c>
      <c r="E69" s="25" t="s">
        <v>189</v>
      </c>
      <c r="F69" s="26" t="s">
        <v>58</v>
      </c>
      <c r="G69" s="58">
        <v>906.41</v>
      </c>
      <c r="H69" s="27">
        <v>19.079999999999998</v>
      </c>
      <c r="I69" s="27">
        <f t="shared" si="12"/>
        <v>24.899399999999996</v>
      </c>
      <c r="J69" s="33">
        <f t="shared" si="14"/>
        <v>22569.065153999996</v>
      </c>
      <c r="K69" s="45">
        <v>9.1017511237045066E-3</v>
      </c>
    </row>
    <row r="70" spans="2:11" s="5" customFormat="1" ht="62.25" customHeight="1" x14ac:dyDescent="0.2">
      <c r="B70" s="44" t="s">
        <v>190</v>
      </c>
      <c r="C70" s="25" t="s">
        <v>191</v>
      </c>
      <c r="D70" s="25" t="s">
        <v>175</v>
      </c>
      <c r="E70" s="25" t="s">
        <v>192</v>
      </c>
      <c r="F70" s="26" t="s">
        <v>58</v>
      </c>
      <c r="G70" s="58">
        <v>160</v>
      </c>
      <c r="H70" s="27">
        <v>101.27</v>
      </c>
      <c r="I70" s="27">
        <f t="shared" si="12"/>
        <v>132.15734999999998</v>
      </c>
      <c r="J70" s="33">
        <f t="shared" si="14"/>
        <v>21145.175999999996</v>
      </c>
      <c r="K70" s="45">
        <v>1.9736368279407258E-2</v>
      </c>
    </row>
    <row r="71" spans="2:11" ht="15" x14ac:dyDescent="0.2">
      <c r="B71" s="44" t="s">
        <v>193</v>
      </c>
      <c r="C71" s="25" t="s">
        <v>194</v>
      </c>
      <c r="D71" s="25" t="s">
        <v>57</v>
      </c>
      <c r="E71" s="25" t="s">
        <v>195</v>
      </c>
      <c r="F71" s="26" t="s">
        <v>58</v>
      </c>
      <c r="G71" s="58">
        <v>464.82</v>
      </c>
      <c r="H71" s="27">
        <v>66.959999999999994</v>
      </c>
      <c r="I71" s="27">
        <f t="shared" si="12"/>
        <v>87.382799999999989</v>
      </c>
      <c r="J71" s="33">
        <f t="shared" si="14"/>
        <v>40617.273095999997</v>
      </c>
      <c r="K71" s="45">
        <v>1.6385975273102881E-2</v>
      </c>
    </row>
    <row r="72" spans="2:11" ht="58.5" customHeight="1" thickBot="1" x14ac:dyDescent="0.25">
      <c r="B72" s="46" t="s">
        <v>196</v>
      </c>
      <c r="C72" s="28">
        <v>88429</v>
      </c>
      <c r="D72" s="28" t="s">
        <v>175</v>
      </c>
      <c r="E72" s="28" t="s">
        <v>197</v>
      </c>
      <c r="F72" s="29" t="s">
        <v>58</v>
      </c>
      <c r="G72" s="59">
        <f>G69-G71</f>
        <v>441.59</v>
      </c>
      <c r="H72" s="30">
        <v>44.77</v>
      </c>
      <c r="I72" s="27">
        <f t="shared" si="12"/>
        <v>58.424849999999999</v>
      </c>
      <c r="J72" s="33">
        <f t="shared" si="14"/>
        <v>25799.829511499996</v>
      </c>
      <c r="K72" s="47">
        <v>1.6828073375980256E-3</v>
      </c>
    </row>
    <row r="73" spans="2:11" ht="30" customHeight="1" thickBot="1" x14ac:dyDescent="0.25">
      <c r="B73" s="37" t="s">
        <v>198</v>
      </c>
      <c r="C73" s="38"/>
      <c r="D73" s="38"/>
      <c r="E73" s="38" t="s">
        <v>199</v>
      </c>
      <c r="F73" s="38"/>
      <c r="G73" s="56"/>
      <c r="H73" s="39"/>
      <c r="I73" s="39"/>
      <c r="J73" s="40">
        <f>SUM(J74)</f>
        <v>25371.548999999999</v>
      </c>
      <c r="K73" s="41">
        <v>2.6551887671716602E-2</v>
      </c>
    </row>
    <row r="74" spans="2:11" ht="15.75" thickBot="1" x14ac:dyDescent="0.25">
      <c r="B74" s="48" t="s">
        <v>200</v>
      </c>
      <c r="C74" s="34" t="s">
        <v>201</v>
      </c>
      <c r="D74" s="34" t="s">
        <v>57</v>
      </c>
      <c r="E74" s="34" t="s">
        <v>202</v>
      </c>
      <c r="F74" s="35" t="s">
        <v>58</v>
      </c>
      <c r="G74" s="60">
        <v>420</v>
      </c>
      <c r="H74" s="36">
        <v>46.29</v>
      </c>
      <c r="I74" s="27">
        <f t="shared" si="12"/>
        <v>60.408449999999995</v>
      </c>
      <c r="J74" s="36">
        <f>I74*G74</f>
        <v>25371.548999999999</v>
      </c>
      <c r="K74" s="49">
        <v>2.6551887671716602E-2</v>
      </c>
    </row>
    <row r="75" spans="2:11" ht="30" customHeight="1" thickBot="1" x14ac:dyDescent="0.25">
      <c r="B75" s="37" t="s">
        <v>203</v>
      </c>
      <c r="C75" s="38"/>
      <c r="D75" s="38"/>
      <c r="E75" s="38" t="s">
        <v>5</v>
      </c>
      <c r="F75" s="38"/>
      <c r="G75" s="56"/>
      <c r="H75" s="39"/>
      <c r="I75" s="39"/>
      <c r="J75" s="40">
        <f>SUM(J76:J80)</f>
        <v>87155.211131999997</v>
      </c>
      <c r="K75" s="41">
        <v>4.2791564673147396E-2</v>
      </c>
    </row>
    <row r="76" spans="2:11" ht="15" x14ac:dyDescent="0.2">
      <c r="B76" s="42" t="s">
        <v>204</v>
      </c>
      <c r="C76" s="31" t="s">
        <v>205</v>
      </c>
      <c r="D76" s="31" t="s">
        <v>57</v>
      </c>
      <c r="E76" s="31" t="s">
        <v>206</v>
      </c>
      <c r="F76" s="32" t="s">
        <v>58</v>
      </c>
      <c r="G76" s="57">
        <v>27.12</v>
      </c>
      <c r="H76" s="33">
        <v>462.65</v>
      </c>
      <c r="I76" s="27">
        <f t="shared" si="12"/>
        <v>603.75824999999998</v>
      </c>
      <c r="J76" s="33">
        <f>I76*G76</f>
        <v>16373.92374</v>
      </c>
      <c r="K76" s="43">
        <v>6.605752449817268E-3</v>
      </c>
    </row>
    <row r="77" spans="2:11" ht="15" x14ac:dyDescent="0.2">
      <c r="B77" s="44" t="s">
        <v>207</v>
      </c>
      <c r="C77" s="25" t="s">
        <v>208</v>
      </c>
      <c r="D77" s="25" t="s">
        <v>57</v>
      </c>
      <c r="E77" s="25" t="s">
        <v>209</v>
      </c>
      <c r="F77" s="26" t="s">
        <v>58</v>
      </c>
      <c r="G77" s="58">
        <v>27.12</v>
      </c>
      <c r="H77" s="27">
        <v>489.15</v>
      </c>
      <c r="I77" s="27">
        <f t="shared" si="12"/>
        <v>638.34074999999996</v>
      </c>
      <c r="J77" s="33">
        <f t="shared" ref="J77:J80" si="15">I77*G77</f>
        <v>17311.80114</v>
      </c>
      <c r="K77" s="45">
        <v>6.9842084040685724E-3</v>
      </c>
    </row>
    <row r="78" spans="2:11" ht="15" x14ac:dyDescent="0.2">
      <c r="B78" s="44" t="s">
        <v>210</v>
      </c>
      <c r="C78" s="25" t="s">
        <v>211</v>
      </c>
      <c r="D78" s="25" t="s">
        <v>113</v>
      </c>
      <c r="E78" s="25" t="s">
        <v>212</v>
      </c>
      <c r="F78" s="26" t="s">
        <v>58</v>
      </c>
      <c r="G78" s="58">
        <v>65.099999999999994</v>
      </c>
      <c r="H78" s="27">
        <v>341.84</v>
      </c>
      <c r="I78" s="27">
        <f t="shared" si="12"/>
        <v>446.10119999999995</v>
      </c>
      <c r="J78" s="33">
        <f t="shared" si="15"/>
        <v>29041.188119999995</v>
      </c>
      <c r="K78" s="45">
        <v>1.1716251276615106E-2</v>
      </c>
    </row>
    <row r="79" spans="2:11" ht="25.5" x14ac:dyDescent="0.2">
      <c r="B79" s="44" t="s">
        <v>213</v>
      </c>
      <c r="C79" s="25" t="s">
        <v>214</v>
      </c>
      <c r="D79" s="25" t="s">
        <v>113</v>
      </c>
      <c r="E79" s="25" t="s">
        <v>215</v>
      </c>
      <c r="F79" s="26" t="s">
        <v>58</v>
      </c>
      <c r="G79" s="58">
        <v>3.36</v>
      </c>
      <c r="H79" s="27">
        <v>381.84</v>
      </c>
      <c r="I79" s="27">
        <f t="shared" si="12"/>
        <v>498.30119999999994</v>
      </c>
      <c r="J79" s="33">
        <f t="shared" si="15"/>
        <v>1674.2920319999998</v>
      </c>
      <c r="K79" s="45">
        <v>6.7546609573157295E-4</v>
      </c>
    </row>
    <row r="80" spans="2:11" ht="48" customHeight="1" thickBot="1" x14ac:dyDescent="0.25">
      <c r="B80" s="44" t="s">
        <v>216</v>
      </c>
      <c r="C80" s="25" t="s">
        <v>217</v>
      </c>
      <c r="D80" s="25" t="s">
        <v>113</v>
      </c>
      <c r="E80" s="25" t="s">
        <v>218</v>
      </c>
      <c r="F80" s="26" t="s">
        <v>153</v>
      </c>
      <c r="G80" s="58">
        <v>14</v>
      </c>
      <c r="H80" s="27">
        <v>1245.43</v>
      </c>
      <c r="I80" s="27">
        <f t="shared" si="12"/>
        <v>1625.2861499999999</v>
      </c>
      <c r="J80" s="33">
        <f t="shared" si="15"/>
        <v>22754.006099999999</v>
      </c>
      <c r="K80" s="45">
        <v>2.622790778294218E-3</v>
      </c>
    </row>
    <row r="81" spans="2:11" ht="30" customHeight="1" thickBot="1" x14ac:dyDescent="0.25">
      <c r="B81" s="37" t="s">
        <v>219</v>
      </c>
      <c r="C81" s="38"/>
      <c r="D81" s="38"/>
      <c r="E81" s="38" t="s">
        <v>6</v>
      </c>
      <c r="F81" s="38"/>
      <c r="G81" s="56"/>
      <c r="H81" s="39"/>
      <c r="I81" s="39"/>
      <c r="J81" s="40">
        <f>SUM(J82:J87)</f>
        <v>30923.984700000001</v>
      </c>
      <c r="K81" s="41">
        <v>3.6689466706793024E-2</v>
      </c>
    </row>
    <row r="82" spans="2:11" s="5" customFormat="1" ht="48.75" customHeight="1" x14ac:dyDescent="0.2">
      <c r="B82" s="42" t="s">
        <v>220</v>
      </c>
      <c r="C82" s="31" t="s">
        <v>221</v>
      </c>
      <c r="D82" s="31" t="s">
        <v>113</v>
      </c>
      <c r="E82" s="31" t="s">
        <v>222</v>
      </c>
      <c r="F82" s="32" t="s">
        <v>153</v>
      </c>
      <c r="G82" s="57">
        <v>2</v>
      </c>
      <c r="H82" s="33">
        <v>1609.1</v>
      </c>
      <c r="I82" s="33">
        <f>H82*1.305</f>
        <v>2099.8754999999996</v>
      </c>
      <c r="J82" s="33">
        <f>I82*G82</f>
        <v>4199.7509999999993</v>
      </c>
      <c r="K82" s="43">
        <v>1.694329491415842E-2</v>
      </c>
    </row>
    <row r="83" spans="2:11" ht="15" x14ac:dyDescent="0.2">
      <c r="B83" s="44" t="s">
        <v>223</v>
      </c>
      <c r="C83" s="25" t="s">
        <v>224</v>
      </c>
      <c r="D83" s="25" t="s">
        <v>57</v>
      </c>
      <c r="E83" s="25" t="s">
        <v>225</v>
      </c>
      <c r="F83" s="26" t="s">
        <v>1</v>
      </c>
      <c r="G83" s="58">
        <v>2</v>
      </c>
      <c r="H83" s="27">
        <v>829.9</v>
      </c>
      <c r="I83" s="33">
        <f t="shared" ref="I83:I87" si="16">H83*1.305</f>
        <v>1083.0194999999999</v>
      </c>
      <c r="J83" s="33">
        <f t="shared" ref="J83:J87" si="17">I83*G83</f>
        <v>2166.0389999999998</v>
      </c>
      <c r="K83" s="45">
        <v>2.6215562618137379E-3</v>
      </c>
    </row>
    <row r="84" spans="2:11" ht="41.25" customHeight="1" x14ac:dyDescent="0.2">
      <c r="B84" s="44" t="s">
        <v>226</v>
      </c>
      <c r="C84" s="25" t="s">
        <v>227</v>
      </c>
      <c r="D84" s="25" t="s">
        <v>113</v>
      </c>
      <c r="E84" s="25" t="s">
        <v>228</v>
      </c>
      <c r="F84" s="26" t="s">
        <v>153</v>
      </c>
      <c r="G84" s="58">
        <v>4</v>
      </c>
      <c r="H84" s="27">
        <v>1110.45</v>
      </c>
      <c r="I84" s="33">
        <f t="shared" si="16"/>
        <v>1449.13725</v>
      </c>
      <c r="J84" s="33">
        <f t="shared" si="17"/>
        <v>5796.549</v>
      </c>
      <c r="K84" s="45">
        <v>2.3385292383770796E-3</v>
      </c>
    </row>
    <row r="85" spans="2:11" ht="45" customHeight="1" x14ac:dyDescent="0.2">
      <c r="B85" s="44" t="s">
        <v>229</v>
      </c>
      <c r="C85" s="25" t="s">
        <v>230</v>
      </c>
      <c r="D85" s="25" t="s">
        <v>113</v>
      </c>
      <c r="E85" s="25" t="s">
        <v>231</v>
      </c>
      <c r="F85" s="26" t="s">
        <v>153</v>
      </c>
      <c r="G85" s="58">
        <v>12</v>
      </c>
      <c r="H85" s="27">
        <v>671.07</v>
      </c>
      <c r="I85" s="33">
        <f t="shared" si="16"/>
        <v>875.74635000000001</v>
      </c>
      <c r="J85" s="33">
        <f t="shared" si="17"/>
        <v>10508.956200000001</v>
      </c>
      <c r="K85" s="45">
        <v>3.5330570673720507E-3</v>
      </c>
    </row>
    <row r="86" spans="2:11" s="5" customFormat="1" ht="30" customHeight="1" x14ac:dyDescent="0.2">
      <c r="B86" s="44" t="s">
        <v>232</v>
      </c>
      <c r="C86" s="25" t="s">
        <v>233</v>
      </c>
      <c r="D86" s="25" t="s">
        <v>113</v>
      </c>
      <c r="E86" s="25" t="s">
        <v>234</v>
      </c>
      <c r="F86" s="26" t="s">
        <v>153</v>
      </c>
      <c r="G86" s="58">
        <v>8</v>
      </c>
      <c r="H86" s="27">
        <v>140.06</v>
      </c>
      <c r="I86" s="33">
        <f t="shared" si="16"/>
        <v>182.7783</v>
      </c>
      <c r="J86" s="33">
        <f t="shared" si="17"/>
        <v>1462.2264</v>
      </c>
      <c r="K86" s="45">
        <v>2.9494454527763479E-4</v>
      </c>
    </row>
    <row r="87" spans="2:11" ht="30" customHeight="1" thickBot="1" x14ac:dyDescent="0.25">
      <c r="B87" s="46" t="s">
        <v>235</v>
      </c>
      <c r="C87" s="28" t="s">
        <v>236</v>
      </c>
      <c r="D87" s="28" t="s">
        <v>57</v>
      </c>
      <c r="E87" s="28" t="s">
        <v>237</v>
      </c>
      <c r="F87" s="29" t="s">
        <v>1</v>
      </c>
      <c r="G87" s="59">
        <v>1</v>
      </c>
      <c r="H87" s="30">
        <v>5203.42</v>
      </c>
      <c r="I87" s="33">
        <f t="shared" si="16"/>
        <v>6790.4630999999999</v>
      </c>
      <c r="J87" s="33">
        <f t="shared" si="17"/>
        <v>6790.4630999999999</v>
      </c>
      <c r="K87" s="47">
        <v>1.0958084679794101E-2</v>
      </c>
    </row>
    <row r="88" spans="2:11" ht="30" customHeight="1" thickBot="1" x14ac:dyDescent="0.25">
      <c r="B88" s="37" t="s">
        <v>238</v>
      </c>
      <c r="C88" s="38"/>
      <c r="D88" s="38"/>
      <c r="E88" s="38" t="s">
        <v>239</v>
      </c>
      <c r="F88" s="38"/>
      <c r="G88" s="56"/>
      <c r="H88" s="39"/>
      <c r="I88" s="39"/>
      <c r="J88" s="40">
        <f>SUM(J89:J97)</f>
        <v>68085.660600000003</v>
      </c>
      <c r="K88" s="41">
        <v>3.421328081210722E-2</v>
      </c>
    </row>
    <row r="89" spans="2:11" ht="30" customHeight="1" x14ac:dyDescent="0.2">
      <c r="B89" s="42" t="s">
        <v>240</v>
      </c>
      <c r="C89" s="31" t="s">
        <v>241</v>
      </c>
      <c r="D89" s="31" t="s">
        <v>57</v>
      </c>
      <c r="E89" s="31" t="s">
        <v>242</v>
      </c>
      <c r="F89" s="32" t="s">
        <v>7</v>
      </c>
      <c r="G89" s="57">
        <v>68</v>
      </c>
      <c r="H89" s="33">
        <v>376.81</v>
      </c>
      <c r="I89" s="33">
        <f>H89*1.305</f>
        <v>491.73704999999995</v>
      </c>
      <c r="J89" s="33">
        <f>I89*G89</f>
        <v>33438.119399999996</v>
      </c>
      <c r="K89" s="43">
        <v>1.9838195717208972E-2</v>
      </c>
    </row>
    <row r="90" spans="2:11" ht="30" customHeight="1" x14ac:dyDescent="0.2">
      <c r="B90" s="42" t="s">
        <v>422</v>
      </c>
      <c r="C90" s="25" t="s">
        <v>243</v>
      </c>
      <c r="D90" s="25" t="s">
        <v>113</v>
      </c>
      <c r="E90" s="25" t="s">
        <v>244</v>
      </c>
      <c r="F90" s="26" t="s">
        <v>153</v>
      </c>
      <c r="G90" s="58">
        <v>16</v>
      </c>
      <c r="H90" s="27">
        <v>418.5</v>
      </c>
      <c r="I90" s="33">
        <f t="shared" ref="I90:I97" si="18">H90*1.305</f>
        <v>546.14249999999993</v>
      </c>
      <c r="J90" s="33">
        <f t="shared" ref="J90:J97" si="19">I90*G90</f>
        <v>8738.2799999999988</v>
      </c>
      <c r="K90" s="45">
        <v>3.5253272190825069E-3</v>
      </c>
    </row>
    <row r="91" spans="2:11" ht="30" customHeight="1" x14ac:dyDescent="0.2">
      <c r="B91" s="42" t="s">
        <v>423</v>
      </c>
      <c r="C91" s="25" t="s">
        <v>245</v>
      </c>
      <c r="D91" s="25" t="s">
        <v>113</v>
      </c>
      <c r="E91" s="25" t="s">
        <v>246</v>
      </c>
      <c r="F91" s="26" t="s">
        <v>153</v>
      </c>
      <c r="G91" s="58">
        <v>15</v>
      </c>
      <c r="H91" s="27">
        <v>15.81</v>
      </c>
      <c r="I91" s="33">
        <f t="shared" si="18"/>
        <v>20.63205</v>
      </c>
      <c r="J91" s="33">
        <f t="shared" si="19"/>
        <v>309.48075</v>
      </c>
      <c r="K91" s="45">
        <v>1.2484350486426121E-4</v>
      </c>
    </row>
    <row r="92" spans="2:11" ht="30" customHeight="1" x14ac:dyDescent="0.2">
      <c r="B92" s="42" t="s">
        <v>424</v>
      </c>
      <c r="C92" s="25" t="s">
        <v>247</v>
      </c>
      <c r="D92" s="25" t="s">
        <v>113</v>
      </c>
      <c r="E92" s="25" t="s">
        <v>248</v>
      </c>
      <c r="F92" s="26" t="s">
        <v>249</v>
      </c>
      <c r="G92" s="58">
        <v>120</v>
      </c>
      <c r="H92" s="27">
        <v>87.46</v>
      </c>
      <c r="I92" s="33">
        <f t="shared" si="18"/>
        <v>114.13529999999999</v>
      </c>
      <c r="J92" s="33">
        <f t="shared" si="19"/>
        <v>13696.235999999999</v>
      </c>
      <c r="K92" s="45">
        <v>5.5253084673419798E-3</v>
      </c>
    </row>
    <row r="93" spans="2:11" ht="30" customHeight="1" x14ac:dyDescent="0.2">
      <c r="B93" s="42" t="s">
        <v>425</v>
      </c>
      <c r="C93" s="25" t="s">
        <v>250</v>
      </c>
      <c r="D93" s="25" t="s">
        <v>113</v>
      </c>
      <c r="E93" s="25" t="s">
        <v>251</v>
      </c>
      <c r="F93" s="26" t="s">
        <v>249</v>
      </c>
      <c r="G93" s="58">
        <v>360</v>
      </c>
      <c r="H93" s="27">
        <v>8.48</v>
      </c>
      <c r="I93" s="33">
        <f t="shared" si="18"/>
        <v>11.0664</v>
      </c>
      <c r="J93" s="33">
        <f t="shared" si="19"/>
        <v>3983.904</v>
      </c>
      <c r="K93" s="45">
        <v>1.6063237969544107E-3</v>
      </c>
    </row>
    <row r="94" spans="2:11" ht="30" customHeight="1" x14ac:dyDescent="0.2">
      <c r="B94" s="42" t="s">
        <v>426</v>
      </c>
      <c r="C94" s="25" t="s">
        <v>252</v>
      </c>
      <c r="D94" s="25" t="s">
        <v>113</v>
      </c>
      <c r="E94" s="25" t="s">
        <v>253</v>
      </c>
      <c r="F94" s="26" t="s">
        <v>153</v>
      </c>
      <c r="G94" s="58">
        <v>60</v>
      </c>
      <c r="H94" s="27">
        <v>11.77</v>
      </c>
      <c r="I94" s="33">
        <f t="shared" si="18"/>
        <v>15.359849999999998</v>
      </c>
      <c r="J94" s="33">
        <f t="shared" si="19"/>
        <v>921.59099999999989</v>
      </c>
      <c r="K94" s="45">
        <v>3.7156525441908083E-4</v>
      </c>
    </row>
    <row r="95" spans="2:11" ht="30" customHeight="1" x14ac:dyDescent="0.2">
      <c r="B95" s="42" t="s">
        <v>427</v>
      </c>
      <c r="C95" s="25" t="s">
        <v>254</v>
      </c>
      <c r="D95" s="25" t="s">
        <v>113</v>
      </c>
      <c r="E95" s="25" t="s">
        <v>255</v>
      </c>
      <c r="F95" s="26" t="s">
        <v>153</v>
      </c>
      <c r="G95" s="58">
        <v>40</v>
      </c>
      <c r="H95" s="27">
        <v>110.87</v>
      </c>
      <c r="I95" s="33">
        <f t="shared" si="18"/>
        <v>144.68535</v>
      </c>
      <c r="J95" s="33">
        <f t="shared" si="19"/>
        <v>5787.4139999999998</v>
      </c>
      <c r="K95" s="45">
        <v>2.3347692077894731E-3</v>
      </c>
    </row>
    <row r="96" spans="2:11" ht="30" customHeight="1" x14ac:dyDescent="0.2">
      <c r="B96" s="42" t="s">
        <v>428</v>
      </c>
      <c r="C96" s="25" t="s">
        <v>256</v>
      </c>
      <c r="D96" s="25" t="s">
        <v>113</v>
      </c>
      <c r="E96" s="25" t="s">
        <v>257</v>
      </c>
      <c r="F96" s="26" t="s">
        <v>153</v>
      </c>
      <c r="G96" s="58">
        <v>16</v>
      </c>
      <c r="H96" s="27">
        <v>9.34</v>
      </c>
      <c r="I96" s="33">
        <f t="shared" si="18"/>
        <v>12.188699999999999</v>
      </c>
      <c r="J96" s="33">
        <f t="shared" si="19"/>
        <v>195.01919999999998</v>
      </c>
      <c r="K96" s="45">
        <v>7.8621755462747526E-5</v>
      </c>
    </row>
    <row r="97" spans="2:11" ht="30" customHeight="1" thickBot="1" x14ac:dyDescent="0.25">
      <c r="B97" s="42" t="s">
        <v>429</v>
      </c>
      <c r="C97" s="28" t="s">
        <v>258</v>
      </c>
      <c r="D97" s="28" t="s">
        <v>113</v>
      </c>
      <c r="E97" s="28" t="s">
        <v>259</v>
      </c>
      <c r="F97" s="29" t="s">
        <v>153</v>
      </c>
      <c r="G97" s="59">
        <v>5</v>
      </c>
      <c r="H97" s="30">
        <v>155.65</v>
      </c>
      <c r="I97" s="33">
        <f t="shared" si="18"/>
        <v>203.12324999999998</v>
      </c>
      <c r="J97" s="33">
        <f t="shared" si="19"/>
        <v>1015.6162499999999</v>
      </c>
      <c r="K97" s="47">
        <v>4.0973037175680619E-4</v>
      </c>
    </row>
    <row r="98" spans="2:11" ht="30" customHeight="1" thickBot="1" x14ac:dyDescent="0.25">
      <c r="B98" s="37">
        <v>5</v>
      </c>
      <c r="C98" s="38"/>
      <c r="D98" s="38"/>
      <c r="E98" s="38" t="s">
        <v>2</v>
      </c>
      <c r="F98" s="38"/>
      <c r="G98" s="56"/>
      <c r="H98" s="39"/>
      <c r="I98" s="39"/>
      <c r="J98" s="40">
        <f>SUM(J99:J101)</f>
        <v>111611.13768000001</v>
      </c>
      <c r="K98" s="41">
        <v>5.6833035809482381E-2</v>
      </c>
    </row>
    <row r="99" spans="2:11" ht="30" customHeight="1" x14ac:dyDescent="0.2">
      <c r="B99" s="42" t="s">
        <v>393</v>
      </c>
      <c r="C99" s="31" t="s">
        <v>260</v>
      </c>
      <c r="D99" s="31" t="s">
        <v>57</v>
      </c>
      <c r="E99" s="31" t="s">
        <v>261</v>
      </c>
      <c r="F99" s="32" t="s">
        <v>58</v>
      </c>
      <c r="G99" s="57">
        <v>624.96</v>
      </c>
      <c r="H99" s="33">
        <v>45.59</v>
      </c>
      <c r="I99" s="33">
        <f>H99*1.305</f>
        <v>59.494950000000003</v>
      </c>
      <c r="J99" s="33">
        <f>I99*G99</f>
        <v>37181.963952000006</v>
      </c>
      <c r="K99" s="43">
        <v>1.4999322791057472E-2</v>
      </c>
    </row>
    <row r="100" spans="2:11" ht="30" customHeight="1" x14ac:dyDescent="0.2">
      <c r="B100" s="42" t="s">
        <v>394</v>
      </c>
      <c r="C100" s="25" t="s">
        <v>262</v>
      </c>
      <c r="D100" s="25" t="s">
        <v>57</v>
      </c>
      <c r="E100" s="25" t="s">
        <v>263</v>
      </c>
      <c r="F100" s="26" t="s">
        <v>58</v>
      </c>
      <c r="G100" s="58">
        <v>624.96</v>
      </c>
      <c r="H100" s="27">
        <v>84.26</v>
      </c>
      <c r="I100" s="33">
        <f t="shared" ref="I100:I101" si="20">H100*1.305</f>
        <v>109.9593</v>
      </c>
      <c r="J100" s="33">
        <f t="shared" ref="J100:J101" si="21">I100*G100</f>
        <v>68720.164128000004</v>
      </c>
      <c r="K100" s="45">
        <v>2.7721894614540464E-2</v>
      </c>
    </row>
    <row r="101" spans="2:11" ht="30" customHeight="1" thickBot="1" x14ac:dyDescent="0.25">
      <c r="B101" s="42" t="s">
        <v>395</v>
      </c>
      <c r="C101" s="28" t="s">
        <v>421</v>
      </c>
      <c r="D101" s="28" t="s">
        <v>175</v>
      </c>
      <c r="E101" s="28" t="s">
        <v>264</v>
      </c>
      <c r="F101" s="29" t="s">
        <v>58</v>
      </c>
      <c r="G101" s="59">
        <v>624.96</v>
      </c>
      <c r="H101" s="30">
        <v>7</v>
      </c>
      <c r="I101" s="33">
        <f t="shared" si="20"/>
        <v>9.1349999999999998</v>
      </c>
      <c r="J101" s="33">
        <f t="shared" si="21"/>
        <v>5709.0096000000003</v>
      </c>
      <c r="K101" s="47">
        <v>1.4111818403884443E-2</v>
      </c>
    </row>
    <row r="102" spans="2:11" ht="30" customHeight="1" thickBot="1" x14ac:dyDescent="0.25">
      <c r="B102" s="37">
        <v>6</v>
      </c>
      <c r="C102" s="38"/>
      <c r="D102" s="38"/>
      <c r="E102" s="38" t="s">
        <v>265</v>
      </c>
      <c r="F102" s="38"/>
      <c r="G102" s="56"/>
      <c r="H102" s="39"/>
      <c r="I102" s="39"/>
      <c r="J102" s="40">
        <f>SUM(J103:J104)</f>
        <v>315.99270000000001</v>
      </c>
      <c r="K102" s="41">
        <v>2.741134916981833E-3</v>
      </c>
    </row>
    <row r="103" spans="2:11" ht="30" customHeight="1" x14ac:dyDescent="0.2">
      <c r="B103" s="42" t="s">
        <v>396</v>
      </c>
      <c r="C103" s="25" t="s">
        <v>266</v>
      </c>
      <c r="D103" s="25" t="s">
        <v>113</v>
      </c>
      <c r="E103" s="25" t="s">
        <v>267</v>
      </c>
      <c r="F103" s="26" t="s">
        <v>153</v>
      </c>
      <c r="G103" s="58">
        <v>2</v>
      </c>
      <c r="H103" s="27">
        <v>45.77</v>
      </c>
      <c r="I103" s="33">
        <f t="shared" ref="I103:I104" si="22">H103*1.305</f>
        <v>59.729849999999999</v>
      </c>
      <c r="J103" s="33">
        <f t="shared" ref="J103:J104" si="23">I103*G103</f>
        <v>119.4597</v>
      </c>
      <c r="K103" s="45">
        <v>4.8186486414565708E-4</v>
      </c>
    </row>
    <row r="104" spans="2:11" ht="30" customHeight="1" thickBot="1" x14ac:dyDescent="0.25">
      <c r="B104" s="42" t="s">
        <v>397</v>
      </c>
      <c r="C104" s="28" t="s">
        <v>268</v>
      </c>
      <c r="D104" s="28" t="s">
        <v>113</v>
      </c>
      <c r="E104" s="28" t="s">
        <v>269</v>
      </c>
      <c r="F104" s="29" t="s">
        <v>153</v>
      </c>
      <c r="G104" s="59">
        <v>4</v>
      </c>
      <c r="H104" s="30">
        <v>37.65</v>
      </c>
      <c r="I104" s="33">
        <f t="shared" si="22"/>
        <v>49.133249999999997</v>
      </c>
      <c r="J104" s="33">
        <f t="shared" si="23"/>
        <v>196.53299999999999</v>
      </c>
      <c r="K104" s="47">
        <v>3.9641695873201827E-4</v>
      </c>
    </row>
    <row r="105" spans="2:11" ht="30" customHeight="1" thickBot="1" x14ac:dyDescent="0.25">
      <c r="B105" s="37">
        <v>7</v>
      </c>
      <c r="C105" s="38"/>
      <c r="D105" s="38"/>
      <c r="E105" s="38" t="s">
        <v>270</v>
      </c>
      <c r="F105" s="38"/>
      <c r="G105" s="56"/>
      <c r="H105" s="39"/>
      <c r="I105" s="39"/>
      <c r="J105" s="40">
        <f>SUM(J106:J109)</f>
        <v>3597.5065500000001</v>
      </c>
      <c r="K105" s="41">
        <v>3.8431708347627771E-3</v>
      </c>
    </row>
    <row r="106" spans="2:11" ht="30" customHeight="1" x14ac:dyDescent="0.2">
      <c r="B106" s="42" t="s">
        <v>398</v>
      </c>
      <c r="C106" s="31" t="s">
        <v>271</v>
      </c>
      <c r="D106" s="31" t="s">
        <v>57</v>
      </c>
      <c r="E106" s="31" t="s">
        <v>272</v>
      </c>
      <c r="F106" s="32" t="s">
        <v>1</v>
      </c>
      <c r="G106" s="57">
        <v>1</v>
      </c>
      <c r="H106" s="33">
        <v>1525.75</v>
      </c>
      <c r="I106" s="33">
        <f>H106*1.305</f>
        <v>1991.10375</v>
      </c>
      <c r="J106" s="33">
        <f>I106*G106</f>
        <v>1991.10375</v>
      </c>
      <c r="K106" s="43">
        <v>1.6065658590094069E-3</v>
      </c>
    </row>
    <row r="107" spans="2:11" ht="30" customHeight="1" x14ac:dyDescent="0.2">
      <c r="B107" s="42" t="s">
        <v>399</v>
      </c>
      <c r="C107" s="25" t="s">
        <v>273</v>
      </c>
      <c r="D107" s="25" t="s">
        <v>57</v>
      </c>
      <c r="E107" s="25" t="s">
        <v>274</v>
      </c>
      <c r="F107" s="26" t="s">
        <v>1</v>
      </c>
      <c r="G107" s="58">
        <v>2</v>
      </c>
      <c r="H107" s="27">
        <v>377.16</v>
      </c>
      <c r="I107" s="33">
        <f t="shared" ref="I107:I109" si="24">H107*1.305</f>
        <v>492.19380000000001</v>
      </c>
      <c r="J107" s="33">
        <f t="shared" ref="J107:J109" si="25">I107*G107</f>
        <v>984.38760000000002</v>
      </c>
      <c r="K107" s="45">
        <v>1.9856753808092007E-3</v>
      </c>
    </row>
    <row r="108" spans="2:11" ht="30" customHeight="1" x14ac:dyDescent="0.2">
      <c r="B108" s="42" t="s">
        <v>400</v>
      </c>
      <c r="C108" s="25" t="s">
        <v>275</v>
      </c>
      <c r="D108" s="25" t="s">
        <v>113</v>
      </c>
      <c r="E108" s="25" t="s">
        <v>276</v>
      </c>
      <c r="F108" s="26" t="s">
        <v>153</v>
      </c>
      <c r="G108" s="58">
        <v>1</v>
      </c>
      <c r="H108" s="27">
        <v>281.14</v>
      </c>
      <c r="I108" s="33">
        <f t="shared" si="24"/>
        <v>366.88769999999994</v>
      </c>
      <c r="J108" s="33">
        <f t="shared" si="25"/>
        <v>366.88769999999994</v>
      </c>
      <c r="K108" s="45">
        <v>1.4801287789497543E-4</v>
      </c>
    </row>
    <row r="109" spans="2:11" ht="30" customHeight="1" thickBot="1" x14ac:dyDescent="0.25">
      <c r="B109" s="42" t="s">
        <v>401</v>
      </c>
      <c r="C109" s="28" t="s">
        <v>277</v>
      </c>
      <c r="D109" s="28" t="s">
        <v>113</v>
      </c>
      <c r="E109" s="28" t="s">
        <v>278</v>
      </c>
      <c r="F109" s="29" t="s">
        <v>153</v>
      </c>
      <c r="G109" s="59">
        <v>10</v>
      </c>
      <c r="H109" s="30">
        <v>19.55</v>
      </c>
      <c r="I109" s="33">
        <f t="shared" si="24"/>
        <v>25.51275</v>
      </c>
      <c r="J109" s="33">
        <f t="shared" si="25"/>
        <v>255.1275</v>
      </c>
      <c r="K109" s="47">
        <v>1.0291671704919384E-4</v>
      </c>
    </row>
    <row r="110" spans="2:11" ht="30" customHeight="1" thickBot="1" x14ac:dyDescent="0.25">
      <c r="B110" s="37">
        <v>8</v>
      </c>
      <c r="C110" s="38"/>
      <c r="D110" s="38"/>
      <c r="E110" s="38" t="s">
        <v>279</v>
      </c>
      <c r="F110" s="38"/>
      <c r="G110" s="56"/>
      <c r="H110" s="39"/>
      <c r="I110" s="39"/>
      <c r="J110" s="40">
        <f>SUM(J111)</f>
        <v>341.45220599999993</v>
      </c>
      <c r="K110" s="41">
        <v>2.3858160608205767E-3</v>
      </c>
    </row>
    <row r="111" spans="2:11" ht="30" customHeight="1" thickBot="1" x14ac:dyDescent="0.25">
      <c r="B111" s="50" t="s">
        <v>402</v>
      </c>
      <c r="C111" s="51">
        <v>99802</v>
      </c>
      <c r="D111" s="51" t="s">
        <v>175</v>
      </c>
      <c r="E111" s="51" t="s">
        <v>280</v>
      </c>
      <c r="F111" s="52" t="s">
        <v>58</v>
      </c>
      <c r="G111" s="61">
        <f>G13</f>
        <v>707.16</v>
      </c>
      <c r="H111" s="53">
        <v>0.37</v>
      </c>
      <c r="I111" s="53">
        <f>H111*1.305</f>
        <v>0.48284999999999995</v>
      </c>
      <c r="J111" s="53">
        <f>I111*G111</f>
        <v>341.45220599999993</v>
      </c>
      <c r="K111" s="54">
        <v>2.3858160608205767E-3</v>
      </c>
    </row>
    <row r="112" spans="2:11" ht="30" customHeight="1" thickBot="1" x14ac:dyDescent="0.25">
      <c r="B112" s="20"/>
      <c r="C112" s="21"/>
      <c r="D112" s="20"/>
      <c r="E112" s="20"/>
      <c r="F112" s="20"/>
      <c r="G112" s="55"/>
      <c r="H112" s="23"/>
      <c r="I112" s="23"/>
      <c r="J112" s="23"/>
      <c r="K112" s="20"/>
    </row>
    <row r="113" spans="2:12" ht="30" customHeight="1" x14ac:dyDescent="0.2">
      <c r="B113" s="152"/>
      <c r="C113" s="152"/>
      <c r="D113" s="152"/>
      <c r="E113" s="21"/>
      <c r="F113" s="155" t="s">
        <v>281</v>
      </c>
      <c r="G113" s="156"/>
      <c r="H113" s="156"/>
      <c r="I113" s="161">
        <f>I115-I114</f>
        <v>1689609.3106407207</v>
      </c>
      <c r="J113" s="161"/>
      <c r="K113" s="162"/>
    </row>
    <row r="114" spans="2:12" ht="30" customHeight="1" x14ac:dyDescent="0.2">
      <c r="B114" s="152"/>
      <c r="C114" s="152"/>
      <c r="D114" s="152"/>
      <c r="E114" s="21"/>
      <c r="F114" s="157" t="s">
        <v>282</v>
      </c>
      <c r="G114" s="158"/>
      <c r="H114" s="158"/>
      <c r="I114" s="163">
        <f>I115*0.305</f>
        <v>741483.22265528014</v>
      </c>
      <c r="J114" s="163"/>
      <c r="K114" s="164"/>
    </row>
    <row r="115" spans="2:12" ht="30" customHeight="1" thickBot="1" x14ac:dyDescent="0.25">
      <c r="B115" s="152"/>
      <c r="C115" s="152"/>
      <c r="D115" s="152"/>
      <c r="E115" s="21"/>
      <c r="F115" s="159" t="s">
        <v>283</v>
      </c>
      <c r="G115" s="160"/>
      <c r="H115" s="160"/>
      <c r="I115" s="153">
        <f>J110+J105+J102+J98+J88+J81+J75+J73+J66+J63+J50+J41+J38+J33+J28+J24+J14+J10</f>
        <v>2431092.5332960007</v>
      </c>
      <c r="J115" s="153"/>
      <c r="K115" s="154"/>
      <c r="L115" s="78"/>
    </row>
    <row r="116" spans="2:12" ht="30" customHeight="1" x14ac:dyDescent="0.2">
      <c r="B116" s="87"/>
      <c r="C116" s="87"/>
      <c r="D116" s="87"/>
      <c r="E116" s="21"/>
      <c r="F116" s="95"/>
      <c r="G116" s="95"/>
      <c r="H116" s="95"/>
      <c r="I116" s="96"/>
      <c r="J116" s="96"/>
      <c r="K116" s="96"/>
      <c r="L116" s="78"/>
    </row>
    <row r="117" spans="2:12" ht="30" customHeight="1" x14ac:dyDescent="0.2">
      <c r="B117" s="87"/>
      <c r="C117" s="87"/>
      <c r="D117" s="87"/>
      <c r="E117" s="21"/>
      <c r="F117" s="95"/>
      <c r="G117" s="95"/>
      <c r="H117" s="95"/>
      <c r="I117" s="96"/>
      <c r="J117" s="96"/>
      <c r="K117" s="96"/>
      <c r="L117" s="78"/>
    </row>
    <row r="118" spans="2:12" ht="15.75" x14ac:dyDescent="0.25">
      <c r="B118" s="130" t="s">
        <v>413</v>
      </c>
      <c r="C118" s="130"/>
      <c r="D118" s="130"/>
      <c r="E118" s="97"/>
    </row>
    <row r="119" spans="2:12" ht="15.75" x14ac:dyDescent="0.2">
      <c r="B119" s="130" t="s">
        <v>414</v>
      </c>
      <c r="C119" s="130"/>
      <c r="D119" s="130"/>
      <c r="E119" s="130"/>
    </row>
    <row r="120" spans="2:12" ht="15.75" x14ac:dyDescent="0.25">
      <c r="B120" s="130" t="s">
        <v>415</v>
      </c>
      <c r="C120" s="130"/>
      <c r="D120" s="130"/>
      <c r="E120" s="97"/>
    </row>
  </sheetData>
  <mergeCells count="24">
    <mergeCell ref="I115:K115"/>
    <mergeCell ref="F113:H113"/>
    <mergeCell ref="F114:H114"/>
    <mergeCell ref="F115:H115"/>
    <mergeCell ref="B113:D113"/>
    <mergeCell ref="I113:K113"/>
    <mergeCell ref="B114:D114"/>
    <mergeCell ref="I114:K114"/>
    <mergeCell ref="B118:D118"/>
    <mergeCell ref="B120:D120"/>
    <mergeCell ref="B119:E119"/>
    <mergeCell ref="B1:K1"/>
    <mergeCell ref="B2:K2"/>
    <mergeCell ref="B8:K8"/>
    <mergeCell ref="H4:K4"/>
    <mergeCell ref="J5:K5"/>
    <mergeCell ref="J6:K6"/>
    <mergeCell ref="J7:K7"/>
    <mergeCell ref="H5:I5"/>
    <mergeCell ref="H6:I6"/>
    <mergeCell ref="H7:I7"/>
    <mergeCell ref="B4:G7"/>
    <mergeCell ref="B3:K3"/>
    <mergeCell ref="B115:D115"/>
  </mergeCells>
  <pageMargins left="0.70866141732283472" right="0.51181102362204722" top="0.55118110236220474" bottom="0.35433070866141736" header="0.31496062992125984" footer="0.31496062992125984"/>
  <pageSetup paperSize="9" scale="59" firstPageNumber="0" fitToHeight="0" orientation="portrait" verticalDpi="300" r:id="rId1"/>
  <headerFooter scaleWithDoc="0" alignWithMargins="0"/>
  <rowBreaks count="3" manualBreakCount="3">
    <brk id="40" min="1" max="10" man="1"/>
    <brk id="72" min="1" max="10" man="1"/>
    <brk id="104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B8E8-CCB2-44FB-91A7-68FFB04B8225}">
  <dimension ref="A1:I37"/>
  <sheetViews>
    <sheetView view="pageBreakPreview" zoomScale="60" zoomScaleNormal="100" workbookViewId="0">
      <selection activeCell="I16" sqref="I16"/>
    </sheetView>
  </sheetViews>
  <sheetFormatPr defaultColWidth="9" defaultRowHeight="14.25" x14ac:dyDescent="0.25"/>
  <cols>
    <col min="1" max="1" width="8.140625" style="63" customWidth="1"/>
    <col min="2" max="2" width="37" style="63" customWidth="1"/>
    <col min="3" max="3" width="26.5703125" style="63" customWidth="1"/>
    <col min="4" max="9" width="20.85546875" style="64" customWidth="1"/>
    <col min="10" max="16384" width="9" style="63"/>
  </cols>
  <sheetData>
    <row r="1" spans="1:9" ht="54.75" customHeight="1" x14ac:dyDescent="0.25">
      <c r="A1" s="190" t="s">
        <v>45</v>
      </c>
      <c r="B1" s="190"/>
      <c r="C1" s="190"/>
      <c r="D1" s="190"/>
      <c r="E1" s="190"/>
      <c r="F1" s="190"/>
      <c r="G1" s="190"/>
      <c r="H1" s="190"/>
      <c r="I1" s="190"/>
    </row>
    <row r="2" spans="1:9" ht="15.75" x14ac:dyDescent="0.25">
      <c r="A2" s="170" t="s">
        <v>412</v>
      </c>
      <c r="B2" s="170"/>
      <c r="C2" s="170"/>
      <c r="D2" s="170"/>
      <c r="E2" s="170"/>
      <c r="F2" s="170"/>
      <c r="G2" s="170"/>
      <c r="H2" s="170"/>
      <c r="I2" s="170"/>
    </row>
    <row r="3" spans="1:9" ht="27.75" customHeight="1" x14ac:dyDescent="0.25">
      <c r="A3" s="170" t="s">
        <v>375</v>
      </c>
      <c r="B3" s="170"/>
      <c r="C3" s="170"/>
      <c r="D3" s="170"/>
      <c r="E3" s="170"/>
      <c r="F3" s="170"/>
      <c r="G3" s="170"/>
      <c r="H3" s="170"/>
      <c r="I3" s="170"/>
    </row>
    <row r="4" spans="1:9" ht="16.5" customHeight="1" thickBot="1" x14ac:dyDescent="0.3">
      <c r="A4" s="88"/>
      <c r="B4" s="88"/>
      <c r="C4" s="88"/>
      <c r="D4" s="88"/>
      <c r="E4" s="88"/>
      <c r="F4" s="88"/>
      <c r="G4" s="88"/>
      <c r="H4" s="88"/>
      <c r="I4" s="88"/>
    </row>
    <row r="5" spans="1:9" ht="27" thickBot="1" x14ac:dyDescent="0.45">
      <c r="A5" s="191" t="s">
        <v>36</v>
      </c>
      <c r="B5" s="192"/>
      <c r="C5" s="192"/>
      <c r="D5" s="192"/>
      <c r="E5" s="192"/>
      <c r="F5" s="192"/>
      <c r="G5" s="192"/>
      <c r="H5" s="192"/>
      <c r="I5" s="193"/>
    </row>
    <row r="6" spans="1:9" ht="24" thickBot="1" x14ac:dyDescent="0.3">
      <c r="A6" s="187" t="s">
        <v>404</v>
      </c>
      <c r="B6" s="188"/>
      <c r="C6" s="188"/>
      <c r="D6" s="188"/>
      <c r="E6" s="188"/>
      <c r="F6" s="188"/>
      <c r="G6" s="188"/>
      <c r="H6" s="188"/>
      <c r="I6" s="189"/>
    </row>
    <row r="7" spans="1:9" s="65" customFormat="1" ht="15.75" x14ac:dyDescent="0.25">
      <c r="A7" s="177" t="s">
        <v>38</v>
      </c>
      <c r="B7" s="179" t="s">
        <v>37</v>
      </c>
      <c r="C7" s="180"/>
      <c r="D7" s="91" t="s">
        <v>39</v>
      </c>
      <c r="E7" s="91" t="s">
        <v>40</v>
      </c>
      <c r="F7" s="91" t="s">
        <v>41</v>
      </c>
      <c r="G7" s="91" t="s">
        <v>42</v>
      </c>
      <c r="H7" s="91" t="s">
        <v>43</v>
      </c>
      <c r="I7" s="93" t="s">
        <v>44</v>
      </c>
    </row>
    <row r="8" spans="1:9" s="65" customFormat="1" ht="15" customHeight="1" thickBot="1" x14ac:dyDescent="0.3">
      <c r="A8" s="178"/>
      <c r="B8" s="181"/>
      <c r="C8" s="181"/>
      <c r="D8" s="92" t="s">
        <v>35</v>
      </c>
      <c r="E8" s="92" t="s">
        <v>35</v>
      </c>
      <c r="F8" s="92" t="s">
        <v>35</v>
      </c>
      <c r="G8" s="92" t="s">
        <v>35</v>
      </c>
      <c r="H8" s="92" t="s">
        <v>35</v>
      </c>
      <c r="I8" s="94" t="s">
        <v>35</v>
      </c>
    </row>
    <row r="9" spans="1:9" s="66" customFormat="1" ht="35.25" customHeight="1" thickBot="1" x14ac:dyDescent="0.3">
      <c r="A9" s="165" t="s">
        <v>55</v>
      </c>
      <c r="B9" s="182" t="s">
        <v>56</v>
      </c>
      <c r="C9" s="185">
        <f>'PLANILHA ORÇAMENTÁRIA'!J10</f>
        <v>22080.444966000003</v>
      </c>
      <c r="D9" s="98">
        <v>1</v>
      </c>
      <c r="E9" s="99" t="s">
        <v>284</v>
      </c>
      <c r="F9" s="99" t="s">
        <v>284</v>
      </c>
      <c r="G9" s="99" t="s">
        <v>284</v>
      </c>
      <c r="H9" s="99" t="s">
        <v>284</v>
      </c>
      <c r="I9" s="100" t="s">
        <v>284</v>
      </c>
    </row>
    <row r="10" spans="1:9" s="66" customFormat="1" ht="16.5" thickTop="1" thickBot="1" x14ac:dyDescent="0.3">
      <c r="A10" s="166"/>
      <c r="B10" s="183"/>
      <c r="C10" s="186"/>
      <c r="D10" s="101">
        <f>D9*C9</f>
        <v>22080.444966000003</v>
      </c>
      <c r="E10" s="102"/>
      <c r="F10" s="102"/>
      <c r="G10" s="102"/>
      <c r="H10" s="102"/>
      <c r="I10" s="103"/>
    </row>
    <row r="11" spans="1:9" ht="35.25" customHeight="1" thickBot="1" x14ac:dyDescent="0.3">
      <c r="A11" s="165" t="s">
        <v>405</v>
      </c>
      <c r="B11" s="182" t="s">
        <v>64</v>
      </c>
      <c r="C11" s="185">
        <f>'PLANILHA ORÇAMENTÁRIA'!J14</f>
        <v>58332.489929999982</v>
      </c>
      <c r="D11" s="98">
        <v>0.5</v>
      </c>
      <c r="E11" s="98">
        <v>0.5</v>
      </c>
      <c r="F11" s="99" t="s">
        <v>284</v>
      </c>
      <c r="G11" s="99" t="s">
        <v>284</v>
      </c>
      <c r="H11" s="99" t="s">
        <v>284</v>
      </c>
      <c r="I11" s="100" t="s">
        <v>284</v>
      </c>
    </row>
    <row r="12" spans="1:9" ht="15.75" thickTop="1" thickBot="1" x14ac:dyDescent="0.3">
      <c r="A12" s="166"/>
      <c r="B12" s="183"/>
      <c r="C12" s="186"/>
      <c r="D12" s="101">
        <f>D11*C11</f>
        <v>29166.244964999991</v>
      </c>
      <c r="E12" s="101">
        <f>E11*C11</f>
        <v>29166.244964999991</v>
      </c>
      <c r="F12" s="104"/>
      <c r="G12" s="104"/>
      <c r="H12" s="104"/>
      <c r="I12" s="105"/>
    </row>
    <row r="13" spans="1:9" ht="35.25" customHeight="1" thickBot="1" x14ac:dyDescent="0.3">
      <c r="A13" s="165" t="s">
        <v>406</v>
      </c>
      <c r="B13" s="182" t="s">
        <v>94</v>
      </c>
      <c r="C13" s="185">
        <f>'PLANILHA ORÇAMENTÁRIA'!J24</f>
        <v>48315.003776999998</v>
      </c>
      <c r="D13" s="98">
        <v>0.8</v>
      </c>
      <c r="E13" s="98">
        <v>0.2</v>
      </c>
      <c r="F13" s="99" t="s">
        <v>284</v>
      </c>
      <c r="G13" s="99" t="s">
        <v>284</v>
      </c>
      <c r="H13" s="99" t="s">
        <v>284</v>
      </c>
      <c r="I13" s="100" t="s">
        <v>284</v>
      </c>
    </row>
    <row r="14" spans="1:9" ht="15.75" thickTop="1" thickBot="1" x14ac:dyDescent="0.3">
      <c r="A14" s="166"/>
      <c r="B14" s="183"/>
      <c r="C14" s="186"/>
      <c r="D14" s="101">
        <f>D13*C13</f>
        <v>38652.003021600001</v>
      </c>
      <c r="E14" s="101">
        <f>E13*C13</f>
        <v>9663.0007554000003</v>
      </c>
      <c r="F14" s="104"/>
      <c r="G14" s="104"/>
      <c r="H14" s="104"/>
      <c r="I14" s="105"/>
    </row>
    <row r="15" spans="1:9" ht="35.25" customHeight="1" thickBot="1" x14ac:dyDescent="0.3">
      <c r="A15" s="165" t="s">
        <v>407</v>
      </c>
      <c r="B15" s="182" t="s">
        <v>285</v>
      </c>
      <c r="C15" s="185">
        <f>'PLANILHA ORÇAMENTÁRIA'!J27</f>
        <v>2186498.5054870001</v>
      </c>
      <c r="D15" s="98">
        <v>0.1</v>
      </c>
      <c r="E15" s="98">
        <v>0.15</v>
      </c>
      <c r="F15" s="98">
        <v>0.2</v>
      </c>
      <c r="G15" s="98">
        <v>0.2</v>
      </c>
      <c r="H15" s="98">
        <v>0.2</v>
      </c>
      <c r="I15" s="106">
        <v>0.15</v>
      </c>
    </row>
    <row r="16" spans="1:9" ht="15.75" thickTop="1" thickBot="1" x14ac:dyDescent="0.3">
      <c r="A16" s="166"/>
      <c r="B16" s="183"/>
      <c r="C16" s="186"/>
      <c r="D16" s="101">
        <f>D15*C15</f>
        <v>218649.85054870002</v>
      </c>
      <c r="E16" s="101">
        <f>E15*C15</f>
        <v>327974.77582305</v>
      </c>
      <c r="F16" s="101">
        <f>F15*C15</f>
        <v>437299.70109740004</v>
      </c>
      <c r="G16" s="101">
        <f>G15*C15</f>
        <v>437299.70109740004</v>
      </c>
      <c r="H16" s="101">
        <f>H15*C15</f>
        <v>437299.70109740004</v>
      </c>
      <c r="I16" s="107">
        <f>I15*C15</f>
        <v>327974.77582305</v>
      </c>
    </row>
    <row r="17" spans="1:9" ht="35.25" customHeight="1" thickBot="1" x14ac:dyDescent="0.3">
      <c r="A17" s="165" t="s">
        <v>408</v>
      </c>
      <c r="B17" s="182" t="s">
        <v>2</v>
      </c>
      <c r="C17" s="185">
        <f>'PLANILHA ORÇAMENTÁRIA'!J98</f>
        <v>111611.13768000001</v>
      </c>
      <c r="D17" s="108" t="s">
        <v>284</v>
      </c>
      <c r="E17" s="108" t="s">
        <v>284</v>
      </c>
      <c r="F17" s="108" t="s">
        <v>284</v>
      </c>
      <c r="G17" s="98">
        <v>0.5</v>
      </c>
      <c r="H17" s="98">
        <v>0.5</v>
      </c>
      <c r="I17" s="109" t="s">
        <v>284</v>
      </c>
    </row>
    <row r="18" spans="1:9" ht="15.75" thickTop="1" thickBot="1" x14ac:dyDescent="0.3">
      <c r="A18" s="195"/>
      <c r="B18" s="184"/>
      <c r="C18" s="194"/>
      <c r="D18" s="110"/>
      <c r="E18" s="110"/>
      <c r="F18" s="110"/>
      <c r="G18" s="111">
        <f>G17*C17</f>
        <v>55805.568840000007</v>
      </c>
      <c r="H18" s="111">
        <f>H17*C17</f>
        <v>55805.568840000007</v>
      </c>
      <c r="I18" s="112"/>
    </row>
    <row r="19" spans="1:9" ht="35.25" customHeight="1" thickBot="1" x14ac:dyDescent="0.3">
      <c r="A19" s="165" t="s">
        <v>409</v>
      </c>
      <c r="B19" s="182" t="s">
        <v>265</v>
      </c>
      <c r="C19" s="185">
        <f>'PLANILHA ORÇAMENTÁRIA'!J102</f>
        <v>315.99270000000001</v>
      </c>
      <c r="D19" s="99" t="s">
        <v>284</v>
      </c>
      <c r="E19" s="99" t="s">
        <v>284</v>
      </c>
      <c r="F19" s="99" t="s">
        <v>284</v>
      </c>
      <c r="G19" s="99" t="s">
        <v>284</v>
      </c>
      <c r="H19" s="99" t="s">
        <v>284</v>
      </c>
      <c r="I19" s="106">
        <v>1</v>
      </c>
    </row>
    <row r="20" spans="1:9" ht="15.75" thickTop="1" thickBot="1" x14ac:dyDescent="0.3">
      <c r="A20" s="166"/>
      <c r="B20" s="183"/>
      <c r="C20" s="186"/>
      <c r="D20" s="104"/>
      <c r="E20" s="104"/>
      <c r="F20" s="104"/>
      <c r="G20" s="104"/>
      <c r="H20" s="102"/>
      <c r="I20" s="113">
        <f>I19*C19</f>
        <v>315.99270000000001</v>
      </c>
    </row>
    <row r="21" spans="1:9" ht="35.25" customHeight="1" thickBot="1" x14ac:dyDescent="0.3">
      <c r="A21" s="165" t="s">
        <v>410</v>
      </c>
      <c r="B21" s="182" t="s">
        <v>270</v>
      </c>
      <c r="C21" s="185">
        <f>'PLANILHA ORÇAMENTÁRIA'!J105</f>
        <v>3597.5065500000001</v>
      </c>
      <c r="D21" s="99" t="s">
        <v>284</v>
      </c>
      <c r="E21" s="99" t="s">
        <v>284</v>
      </c>
      <c r="F21" s="99" t="s">
        <v>284</v>
      </c>
      <c r="G21" s="99" t="s">
        <v>284</v>
      </c>
      <c r="H21" s="98">
        <v>1</v>
      </c>
      <c r="I21" s="100" t="s">
        <v>284</v>
      </c>
    </row>
    <row r="22" spans="1:9" ht="15.75" thickTop="1" thickBot="1" x14ac:dyDescent="0.3">
      <c r="A22" s="166"/>
      <c r="B22" s="183"/>
      <c r="C22" s="186"/>
      <c r="D22" s="104"/>
      <c r="E22" s="104"/>
      <c r="F22" s="104"/>
      <c r="G22" s="104"/>
      <c r="H22" s="114">
        <f>H21*C21</f>
        <v>3597.5065500000001</v>
      </c>
      <c r="I22" s="103"/>
    </row>
    <row r="23" spans="1:9" ht="35.25" customHeight="1" thickBot="1" x14ac:dyDescent="0.3">
      <c r="A23" s="165" t="s">
        <v>411</v>
      </c>
      <c r="B23" s="182" t="s">
        <v>279</v>
      </c>
      <c r="C23" s="185">
        <f>'PLANILHA ORÇAMENTÁRIA'!J110</f>
        <v>341.45220599999993</v>
      </c>
      <c r="D23" s="99" t="s">
        <v>284</v>
      </c>
      <c r="E23" s="99" t="s">
        <v>284</v>
      </c>
      <c r="F23" s="99" t="s">
        <v>284</v>
      </c>
      <c r="G23" s="99" t="s">
        <v>284</v>
      </c>
      <c r="H23" s="99" t="s">
        <v>284</v>
      </c>
      <c r="I23" s="106">
        <v>1</v>
      </c>
    </row>
    <row r="24" spans="1:9" ht="15.75" thickTop="1" thickBot="1" x14ac:dyDescent="0.3">
      <c r="A24" s="166"/>
      <c r="B24" s="183"/>
      <c r="C24" s="186"/>
      <c r="D24" s="104"/>
      <c r="E24" s="104"/>
      <c r="F24" s="104"/>
      <c r="G24" s="104"/>
      <c r="H24" s="104"/>
      <c r="I24" s="115">
        <f>I23*C23</f>
        <v>341.45220599999993</v>
      </c>
    </row>
    <row r="25" spans="1:9" x14ac:dyDescent="0.25">
      <c r="A25" s="173" t="s">
        <v>286</v>
      </c>
      <c r="B25" s="174"/>
      <c r="C25" s="167">
        <f>SUM(C9:C24)</f>
        <v>2431092.5332960002</v>
      </c>
      <c r="D25" s="116" t="s">
        <v>287</v>
      </c>
      <c r="E25" s="117" t="s">
        <v>288</v>
      </c>
      <c r="F25" s="117" t="s">
        <v>289</v>
      </c>
      <c r="G25" s="117" t="s">
        <v>290</v>
      </c>
      <c r="H25" s="117" t="s">
        <v>291</v>
      </c>
      <c r="I25" s="118" t="s">
        <v>292</v>
      </c>
    </row>
    <row r="26" spans="1:9" s="67" customFormat="1" x14ac:dyDescent="0.25">
      <c r="A26" s="171" t="s">
        <v>293</v>
      </c>
      <c r="B26" s="172"/>
      <c r="C26" s="168"/>
      <c r="D26" s="119">
        <f>D16+D14+D12+D10</f>
        <v>308548.54350129998</v>
      </c>
      <c r="E26" s="120">
        <f>E12+E14+E16</f>
        <v>366804.02154345001</v>
      </c>
      <c r="F26" s="120">
        <f>F16</f>
        <v>437299.70109740004</v>
      </c>
      <c r="G26" s="121">
        <f>G18+G16</f>
        <v>493105.26993740007</v>
      </c>
      <c r="H26" s="121">
        <f>H22+H18+H16</f>
        <v>496702.77648740006</v>
      </c>
      <c r="I26" s="122">
        <f>I24+I20+I16</f>
        <v>328632.22072904999</v>
      </c>
    </row>
    <row r="27" spans="1:9" x14ac:dyDescent="0.25">
      <c r="A27" s="173" t="s">
        <v>294</v>
      </c>
      <c r="B27" s="174"/>
      <c r="C27" s="168"/>
      <c r="D27" s="123" t="s">
        <v>287</v>
      </c>
      <c r="E27" s="124" t="s">
        <v>295</v>
      </c>
      <c r="F27" s="124" t="s">
        <v>296</v>
      </c>
      <c r="G27" s="124" t="s">
        <v>297</v>
      </c>
      <c r="H27" s="124" t="s">
        <v>298</v>
      </c>
      <c r="I27" s="125" t="s">
        <v>299</v>
      </c>
    </row>
    <row r="28" spans="1:9" s="67" customFormat="1" ht="15" thickBot="1" x14ac:dyDescent="0.3">
      <c r="A28" s="175" t="s">
        <v>300</v>
      </c>
      <c r="B28" s="176"/>
      <c r="C28" s="169"/>
      <c r="D28" s="126">
        <f>D26</f>
        <v>308548.54350129998</v>
      </c>
      <c r="E28" s="127">
        <f>E26+D28</f>
        <v>675352.56504474999</v>
      </c>
      <c r="F28" s="127">
        <f>F26+E28</f>
        <v>1112652.2661421499</v>
      </c>
      <c r="G28" s="128">
        <f>G26+F28</f>
        <v>1605757.5360795499</v>
      </c>
      <c r="H28" s="128">
        <f>H26+G28</f>
        <v>2102460.31256695</v>
      </c>
      <c r="I28" s="129">
        <f>I26+H28</f>
        <v>2431092.5332960002</v>
      </c>
    </row>
    <row r="35" spans="1:4" ht="15.75" x14ac:dyDescent="0.25">
      <c r="A35" s="130" t="s">
        <v>413</v>
      </c>
      <c r="B35" s="130"/>
      <c r="C35" s="130"/>
      <c r="D35" s="97"/>
    </row>
    <row r="36" spans="1:4" ht="15.75" x14ac:dyDescent="0.25">
      <c r="A36" s="130" t="s">
        <v>414</v>
      </c>
      <c r="B36" s="130"/>
      <c r="C36" s="130"/>
      <c r="D36" s="130"/>
    </row>
    <row r="37" spans="1:4" ht="15.75" x14ac:dyDescent="0.25">
      <c r="A37" s="130" t="s">
        <v>415</v>
      </c>
      <c r="B37" s="130"/>
      <c r="C37" s="130"/>
      <c r="D37" s="97"/>
    </row>
  </sheetData>
  <mergeCells count="39">
    <mergeCell ref="A13:A14"/>
    <mergeCell ref="A15:A16"/>
    <mergeCell ref="A17:A18"/>
    <mergeCell ref="A19:A20"/>
    <mergeCell ref="C13:C14"/>
    <mergeCell ref="C15:C16"/>
    <mergeCell ref="C17:C18"/>
    <mergeCell ref="C19:C20"/>
    <mergeCell ref="C21:C22"/>
    <mergeCell ref="C9:C10"/>
    <mergeCell ref="C11:C12"/>
    <mergeCell ref="A6:I6"/>
    <mergeCell ref="A2:I2"/>
    <mergeCell ref="A1:I1"/>
    <mergeCell ref="A5:I5"/>
    <mergeCell ref="A11:A12"/>
    <mergeCell ref="A3:I3"/>
    <mergeCell ref="A35:C35"/>
    <mergeCell ref="A26:B26"/>
    <mergeCell ref="A27:B27"/>
    <mergeCell ref="A28:B28"/>
    <mergeCell ref="A7:A8"/>
    <mergeCell ref="B7:C8"/>
    <mergeCell ref="B9:B10"/>
    <mergeCell ref="A9:A10"/>
    <mergeCell ref="B11:B12"/>
    <mergeCell ref="B13:B14"/>
    <mergeCell ref="B15:B16"/>
    <mergeCell ref="B17:B18"/>
    <mergeCell ref="B19:B20"/>
    <mergeCell ref="B21:B22"/>
    <mergeCell ref="B23:B24"/>
    <mergeCell ref="A36:D36"/>
    <mergeCell ref="A37:C37"/>
    <mergeCell ref="A21:A22"/>
    <mergeCell ref="A23:A24"/>
    <mergeCell ref="C25:C28"/>
    <mergeCell ref="A25:B25"/>
    <mergeCell ref="C23:C24"/>
  </mergeCells>
  <pageMargins left="0.9055118110236221" right="0.51181102362204722" top="0.39370078740157483" bottom="0.78740157480314965" header="0.31496062992125984" footer="0.31496062992125984"/>
  <pageSetup paperSize="9" scale="65" fitToHeight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D092-1C10-4A00-9CB9-55BF9F0C3F6A}">
  <dimension ref="A1:C40"/>
  <sheetViews>
    <sheetView tabSelected="1" view="pageBreakPreview" zoomScaleNormal="100" zoomScaleSheetLayoutView="100" workbookViewId="0">
      <selection activeCell="A9" sqref="A9"/>
    </sheetView>
  </sheetViews>
  <sheetFormatPr defaultColWidth="7.7109375" defaultRowHeight="15" x14ac:dyDescent="0.25"/>
  <cols>
    <col min="1" max="1" width="55.140625" style="6" customWidth="1"/>
    <col min="2" max="2" width="19.42578125" style="19" customWidth="1"/>
    <col min="3" max="3" width="13.42578125" style="19" customWidth="1"/>
    <col min="4" max="16384" width="7.7109375" style="6"/>
  </cols>
  <sheetData>
    <row r="1" spans="1:3" ht="54.75" customHeight="1" x14ac:dyDescent="0.25">
      <c r="A1" s="190" t="s">
        <v>45</v>
      </c>
      <c r="B1" s="190"/>
      <c r="C1" s="190"/>
    </row>
    <row r="2" spans="1:3" ht="15.75" x14ac:dyDescent="0.25">
      <c r="A2" s="170" t="s">
        <v>412</v>
      </c>
      <c r="B2" s="170"/>
      <c r="C2" s="170"/>
    </row>
    <row r="3" spans="1:3" ht="15.75" x14ac:dyDescent="0.25">
      <c r="A3" s="170" t="s">
        <v>375</v>
      </c>
      <c r="B3" s="170"/>
      <c r="C3" s="170"/>
    </row>
    <row r="4" spans="1:3" x14ac:dyDescent="0.25">
      <c r="A4" s="198"/>
      <c r="B4" s="199"/>
      <c r="C4" s="200"/>
    </row>
    <row r="5" spans="1:3" ht="18" x14ac:dyDescent="0.25">
      <c r="A5" s="212" t="s">
        <v>416</v>
      </c>
      <c r="B5" s="213"/>
      <c r="C5" s="214"/>
    </row>
    <row r="6" spans="1:3" x14ac:dyDescent="0.25">
      <c r="A6" s="201" t="s">
        <v>13</v>
      </c>
      <c r="B6" s="202"/>
      <c r="C6" s="7" t="s">
        <v>14</v>
      </c>
    </row>
    <row r="7" spans="1:3" x14ac:dyDescent="0.25">
      <c r="A7" s="203"/>
      <c r="B7" s="204"/>
      <c r="C7" s="205"/>
    </row>
    <row r="8" spans="1:3" x14ac:dyDescent="0.25">
      <c r="A8" s="8" t="s">
        <v>15</v>
      </c>
      <c r="B8" s="9" t="s">
        <v>16</v>
      </c>
      <c r="C8" s="10">
        <f>3.65/100</f>
        <v>3.6499999999999998E-2</v>
      </c>
    </row>
    <row r="9" spans="1:3" x14ac:dyDescent="0.25">
      <c r="A9" s="8" t="s">
        <v>17</v>
      </c>
      <c r="B9" s="9" t="s">
        <v>18</v>
      </c>
      <c r="C9" s="10">
        <f>5/100</f>
        <v>0.05</v>
      </c>
    </row>
    <row r="10" spans="1:3" ht="25.5" x14ac:dyDescent="0.25">
      <c r="A10" s="11" t="s">
        <v>19</v>
      </c>
      <c r="B10" s="12" t="s">
        <v>20</v>
      </c>
      <c r="C10" s="13">
        <f>4.5/100</f>
        <v>4.4999999999999998E-2</v>
      </c>
    </row>
    <row r="11" spans="1:3" x14ac:dyDescent="0.25">
      <c r="A11" s="206" t="s">
        <v>21</v>
      </c>
      <c r="B11" s="206"/>
      <c r="C11" s="14">
        <f>SUM(C8:C10)</f>
        <v>0.13150000000000001</v>
      </c>
    </row>
    <row r="12" spans="1:3" x14ac:dyDescent="0.25">
      <c r="A12" s="15"/>
      <c r="B12" s="16"/>
      <c r="C12" s="17"/>
    </row>
    <row r="13" spans="1:3" x14ac:dyDescent="0.25">
      <c r="A13" s="207" t="s">
        <v>22</v>
      </c>
      <c r="B13" s="208"/>
      <c r="C13" s="7" t="s">
        <v>23</v>
      </c>
    </row>
    <row r="14" spans="1:3" x14ac:dyDescent="0.25">
      <c r="A14" s="203"/>
      <c r="B14" s="204"/>
      <c r="C14" s="205"/>
    </row>
    <row r="15" spans="1:3" ht="25.5" x14ac:dyDescent="0.25">
      <c r="A15" s="8" t="s">
        <v>24</v>
      </c>
      <c r="B15" s="9" t="s">
        <v>25</v>
      </c>
      <c r="C15" s="13">
        <f>4.25/100</f>
        <v>4.2500000000000003E-2</v>
      </c>
    </row>
    <row r="16" spans="1:3" x14ac:dyDescent="0.25">
      <c r="A16" s="8" t="s">
        <v>26</v>
      </c>
      <c r="B16" s="9" t="s">
        <v>27</v>
      </c>
      <c r="C16" s="13">
        <f>0.5/100</f>
        <v>5.0000000000000001E-3</v>
      </c>
    </row>
    <row r="17" spans="1:3" x14ac:dyDescent="0.25">
      <c r="A17" s="8" t="s">
        <v>28</v>
      </c>
      <c r="B17" s="7" t="s">
        <v>29</v>
      </c>
      <c r="C17" s="13">
        <f>0.4/100</f>
        <v>4.0000000000000001E-3</v>
      </c>
    </row>
    <row r="18" spans="1:3" x14ac:dyDescent="0.25">
      <c r="A18" s="196" t="s">
        <v>21</v>
      </c>
      <c r="B18" s="197"/>
      <c r="C18" s="13">
        <f>SUM(C15:C17)</f>
        <v>5.1500000000000004E-2</v>
      </c>
    </row>
    <row r="19" spans="1:3" ht="12.75" customHeight="1" x14ac:dyDescent="0.2">
      <c r="A19" s="209"/>
      <c r="B19" s="210"/>
      <c r="C19" s="211"/>
    </row>
    <row r="20" spans="1:3" ht="25.5" x14ac:dyDescent="0.25">
      <c r="A20" s="8" t="s">
        <v>30</v>
      </c>
      <c r="B20" s="9" t="s">
        <v>31</v>
      </c>
      <c r="C20" s="13">
        <f>1.02/100</f>
        <v>1.0200000000000001E-2</v>
      </c>
    </row>
    <row r="21" spans="1:3" x14ac:dyDescent="0.25">
      <c r="A21" s="196" t="s">
        <v>21</v>
      </c>
      <c r="B21" s="197"/>
      <c r="C21" s="10">
        <f>SUM(C20)</f>
        <v>1.0200000000000001E-2</v>
      </c>
    </row>
    <row r="22" spans="1:3" ht="12.75" customHeight="1" x14ac:dyDescent="0.2">
      <c r="A22" s="209"/>
      <c r="B22" s="210"/>
      <c r="C22" s="211"/>
    </row>
    <row r="23" spans="1:3" x14ac:dyDescent="0.25">
      <c r="A23" s="8" t="s">
        <v>32</v>
      </c>
      <c r="B23" s="7" t="s">
        <v>33</v>
      </c>
      <c r="C23" s="10">
        <f>6.7/100</f>
        <v>6.7000000000000004E-2</v>
      </c>
    </row>
    <row r="24" spans="1:3" x14ac:dyDescent="0.25">
      <c r="A24" s="196" t="s">
        <v>21</v>
      </c>
      <c r="B24" s="197"/>
      <c r="C24" s="10">
        <f>SUM(C23)</f>
        <v>6.7000000000000004E-2</v>
      </c>
    </row>
    <row r="25" spans="1:3" x14ac:dyDescent="0.25">
      <c r="A25" s="203"/>
      <c r="B25" s="204"/>
      <c r="C25" s="205"/>
    </row>
    <row r="26" spans="1:3" ht="15.75" x14ac:dyDescent="0.25">
      <c r="A26" s="215" t="s">
        <v>34</v>
      </c>
      <c r="B26" s="216"/>
      <c r="C26" s="18">
        <f>((1+C15+C17+C16)*(1+C20)*(1+C23)/(1-C8-C9-C10))-1</f>
        <v>0.30500218203799645</v>
      </c>
    </row>
    <row r="38" spans="1:3" ht="15.75" x14ac:dyDescent="0.25">
      <c r="A38" s="130" t="s">
        <v>413</v>
      </c>
      <c r="B38" s="130"/>
      <c r="C38" s="130"/>
    </row>
    <row r="39" spans="1:3" ht="15.75" x14ac:dyDescent="0.25">
      <c r="A39" s="130" t="s">
        <v>414</v>
      </c>
      <c r="B39" s="130"/>
      <c r="C39" s="130"/>
    </row>
    <row r="40" spans="1:3" ht="15.75" x14ac:dyDescent="0.25">
      <c r="A40" s="130" t="s">
        <v>415</v>
      </c>
      <c r="B40" s="130"/>
      <c r="C40" s="130"/>
    </row>
  </sheetData>
  <mergeCells count="20">
    <mergeCell ref="A40:C40"/>
    <mergeCell ref="A24:B24"/>
    <mergeCell ref="A25:C25"/>
    <mergeCell ref="A26:B26"/>
    <mergeCell ref="A38:C38"/>
    <mergeCell ref="A39:C39"/>
    <mergeCell ref="A1:C1"/>
    <mergeCell ref="A2:C2"/>
    <mergeCell ref="A3:C3"/>
    <mergeCell ref="A5:C5"/>
    <mergeCell ref="A22:C22"/>
    <mergeCell ref="A21:B21"/>
    <mergeCell ref="A4:C4"/>
    <mergeCell ref="A6:B6"/>
    <mergeCell ref="A7:C7"/>
    <mergeCell ref="A11:B11"/>
    <mergeCell ref="A13:B13"/>
    <mergeCell ref="A14:C14"/>
    <mergeCell ref="A18:B18"/>
    <mergeCell ref="A19:C19"/>
  </mergeCells>
  <pageMargins left="0.9055118110236221" right="0.51181102362204722" top="0.78740157480314965" bottom="0.78740157480314965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1F1A-B1FD-4D06-980C-69BF49029ED5}">
  <dimension ref="A1:D50"/>
  <sheetViews>
    <sheetView view="pageBreakPreview" zoomScale="90" zoomScaleNormal="100" zoomScaleSheetLayoutView="90" workbookViewId="0">
      <selection activeCell="F47" sqref="F47"/>
    </sheetView>
  </sheetViews>
  <sheetFormatPr defaultRowHeight="15" x14ac:dyDescent="0.25"/>
  <cols>
    <col min="1" max="1" width="17.7109375" customWidth="1"/>
    <col min="2" max="2" width="53.85546875" customWidth="1"/>
    <col min="3" max="3" width="13.42578125" customWidth="1"/>
    <col min="4" max="4" width="16" customWidth="1"/>
  </cols>
  <sheetData>
    <row r="1" spans="1:4" ht="33.75" customHeight="1" x14ac:dyDescent="0.25">
      <c r="A1" s="217"/>
      <c r="B1" s="217"/>
      <c r="C1" s="217"/>
      <c r="D1" s="217"/>
    </row>
    <row r="2" spans="1:4" ht="15.75" customHeight="1" x14ac:dyDescent="0.25">
      <c r="A2" s="218" t="s">
        <v>45</v>
      </c>
      <c r="B2" s="218"/>
      <c r="C2" s="218"/>
      <c r="D2" s="218"/>
    </row>
    <row r="3" spans="1:4" ht="15.75" customHeight="1" x14ac:dyDescent="0.25">
      <c r="A3" s="218" t="s">
        <v>412</v>
      </c>
      <c r="B3" s="218"/>
      <c r="C3" s="218"/>
      <c r="D3" s="218"/>
    </row>
    <row r="4" spans="1:4" ht="15.75" customHeight="1" x14ac:dyDescent="0.25">
      <c r="A4" s="219" t="s">
        <v>375</v>
      </c>
      <c r="B4" s="219"/>
      <c r="C4" s="219"/>
      <c r="D4" s="219"/>
    </row>
    <row r="6" spans="1:4" x14ac:dyDescent="0.25">
      <c r="A6" s="221" t="s">
        <v>304</v>
      </c>
      <c r="B6" s="222"/>
      <c r="C6" s="222"/>
      <c r="D6" s="223"/>
    </row>
    <row r="7" spans="1:4" x14ac:dyDescent="0.25">
      <c r="A7" s="68" t="s">
        <v>46</v>
      </c>
      <c r="B7" s="68" t="s">
        <v>305</v>
      </c>
      <c r="C7" s="68" t="s">
        <v>306</v>
      </c>
      <c r="D7" s="68" t="s">
        <v>307</v>
      </c>
    </row>
    <row r="8" spans="1:4" x14ac:dyDescent="0.25">
      <c r="A8" s="224" t="s">
        <v>308</v>
      </c>
      <c r="B8" s="225"/>
      <c r="C8" s="225"/>
      <c r="D8" s="226"/>
    </row>
    <row r="9" spans="1:4" x14ac:dyDescent="0.25">
      <c r="A9" s="69" t="s">
        <v>309</v>
      </c>
      <c r="B9" s="70" t="s">
        <v>310</v>
      </c>
      <c r="C9" s="71">
        <v>20</v>
      </c>
      <c r="D9" s="71">
        <v>20</v>
      </c>
    </row>
    <row r="10" spans="1:4" x14ac:dyDescent="0.25">
      <c r="A10" s="69" t="s">
        <v>311</v>
      </c>
      <c r="B10" s="70" t="s">
        <v>312</v>
      </c>
      <c r="C10" s="71">
        <v>1.5</v>
      </c>
      <c r="D10" s="71">
        <v>1.5</v>
      </c>
    </row>
    <row r="11" spans="1:4" x14ac:dyDescent="0.25">
      <c r="A11" s="69" t="s">
        <v>313</v>
      </c>
      <c r="B11" s="70" t="s">
        <v>314</v>
      </c>
      <c r="C11" s="71">
        <v>1</v>
      </c>
      <c r="D11" s="71">
        <v>1</v>
      </c>
    </row>
    <row r="12" spans="1:4" x14ac:dyDescent="0.25">
      <c r="A12" s="69" t="s">
        <v>315</v>
      </c>
      <c r="B12" s="70" t="s">
        <v>316</v>
      </c>
      <c r="C12" s="71">
        <v>0.2</v>
      </c>
      <c r="D12" s="71">
        <v>0.2</v>
      </c>
    </row>
    <row r="13" spans="1:4" x14ac:dyDescent="0.25">
      <c r="A13" s="69" t="s">
        <v>317</v>
      </c>
      <c r="B13" s="70" t="s">
        <v>318</v>
      </c>
      <c r="C13" s="71">
        <v>0.6</v>
      </c>
      <c r="D13" s="71">
        <v>0.6</v>
      </c>
    </row>
    <row r="14" spans="1:4" x14ac:dyDescent="0.25">
      <c r="A14" s="69" t="s">
        <v>319</v>
      </c>
      <c r="B14" s="70" t="s">
        <v>320</v>
      </c>
      <c r="C14" s="71">
        <v>2.5</v>
      </c>
      <c r="D14" s="71">
        <v>2.5</v>
      </c>
    </row>
    <row r="15" spans="1:4" x14ac:dyDescent="0.25">
      <c r="A15" s="69" t="s">
        <v>321</v>
      </c>
      <c r="B15" s="70" t="s">
        <v>322</v>
      </c>
      <c r="C15" s="71">
        <v>3</v>
      </c>
      <c r="D15" s="71">
        <v>3</v>
      </c>
    </row>
    <row r="16" spans="1:4" x14ac:dyDescent="0.25">
      <c r="A16" s="69" t="s">
        <v>323</v>
      </c>
      <c r="B16" s="70" t="s">
        <v>324</v>
      </c>
      <c r="C16" s="71">
        <v>8</v>
      </c>
      <c r="D16" s="71">
        <v>8</v>
      </c>
    </row>
    <row r="17" spans="1:4" x14ac:dyDescent="0.25">
      <c r="A17" s="69" t="s">
        <v>325</v>
      </c>
      <c r="B17" s="70" t="s">
        <v>326</v>
      </c>
      <c r="C17" s="71">
        <v>0</v>
      </c>
      <c r="D17" s="71">
        <v>0</v>
      </c>
    </row>
    <row r="18" spans="1:4" x14ac:dyDescent="0.25">
      <c r="A18" s="68" t="s">
        <v>327</v>
      </c>
      <c r="B18" s="72" t="s">
        <v>328</v>
      </c>
      <c r="C18" s="73">
        <f>SUM(C9:C17)</f>
        <v>36.799999999999997</v>
      </c>
      <c r="D18" s="73">
        <f>SUM(D9:D17)</f>
        <v>36.799999999999997</v>
      </c>
    </row>
    <row r="19" spans="1:4" x14ac:dyDescent="0.25">
      <c r="A19" s="224" t="s">
        <v>329</v>
      </c>
      <c r="B19" s="225"/>
      <c r="C19" s="225"/>
      <c r="D19" s="226"/>
    </row>
    <row r="20" spans="1:4" x14ac:dyDescent="0.25">
      <c r="A20" s="69" t="s">
        <v>330</v>
      </c>
      <c r="B20" s="70" t="s">
        <v>331</v>
      </c>
      <c r="C20" s="71">
        <v>18.11</v>
      </c>
      <c r="D20" s="71">
        <v>0</v>
      </c>
    </row>
    <row r="21" spans="1:4" x14ac:dyDescent="0.25">
      <c r="A21" s="69" t="s">
        <v>332</v>
      </c>
      <c r="B21" s="70" t="s">
        <v>333</v>
      </c>
      <c r="C21" s="71">
        <v>4.1500000000000004</v>
      </c>
      <c r="D21" s="71">
        <v>0</v>
      </c>
    </row>
    <row r="22" spans="1:4" x14ac:dyDescent="0.25">
      <c r="A22" s="69" t="s">
        <v>334</v>
      </c>
      <c r="B22" s="70" t="s">
        <v>335</v>
      </c>
      <c r="C22" s="71">
        <v>0.89</v>
      </c>
      <c r="D22" s="71">
        <v>0.67</v>
      </c>
    </row>
    <row r="23" spans="1:4" x14ac:dyDescent="0.25">
      <c r="A23" s="69" t="s">
        <v>336</v>
      </c>
      <c r="B23" s="70" t="s">
        <v>337</v>
      </c>
      <c r="C23" s="71">
        <v>10.98</v>
      </c>
      <c r="D23" s="71">
        <v>8.33</v>
      </c>
    </row>
    <row r="24" spans="1:4" x14ac:dyDescent="0.25">
      <c r="A24" s="69" t="s">
        <v>338</v>
      </c>
      <c r="B24" s="70" t="s">
        <v>339</v>
      </c>
      <c r="C24" s="71">
        <v>7.0000000000000007E-2</v>
      </c>
      <c r="D24" s="71">
        <v>0.06</v>
      </c>
    </row>
    <row r="25" spans="1:4" x14ac:dyDescent="0.25">
      <c r="A25" s="69" t="s">
        <v>340</v>
      </c>
      <c r="B25" s="70" t="s">
        <v>341</v>
      </c>
      <c r="C25" s="71">
        <v>0.73</v>
      </c>
      <c r="D25" s="71">
        <v>0.56000000000000005</v>
      </c>
    </row>
    <row r="26" spans="1:4" x14ac:dyDescent="0.25">
      <c r="A26" s="69" t="s">
        <v>342</v>
      </c>
      <c r="B26" s="70" t="s">
        <v>343</v>
      </c>
      <c r="C26" s="71">
        <v>2.68</v>
      </c>
      <c r="D26" s="71">
        <v>0</v>
      </c>
    </row>
    <row r="27" spans="1:4" x14ac:dyDescent="0.25">
      <c r="A27" s="69" t="s">
        <v>344</v>
      </c>
      <c r="B27" s="70" t="s">
        <v>345</v>
      </c>
      <c r="C27" s="71">
        <v>0.11</v>
      </c>
      <c r="D27" s="71">
        <v>0.08</v>
      </c>
    </row>
    <row r="28" spans="1:4" x14ac:dyDescent="0.25">
      <c r="A28" s="69" t="s">
        <v>346</v>
      </c>
      <c r="B28" s="70" t="s">
        <v>347</v>
      </c>
      <c r="C28" s="71">
        <v>9.27</v>
      </c>
      <c r="D28" s="71">
        <v>7.03</v>
      </c>
    </row>
    <row r="29" spans="1:4" x14ac:dyDescent="0.25">
      <c r="A29" s="69" t="s">
        <v>348</v>
      </c>
      <c r="B29" s="70" t="s">
        <v>349</v>
      </c>
      <c r="C29" s="71">
        <v>0.03</v>
      </c>
      <c r="D29" s="71">
        <v>0.03</v>
      </c>
    </row>
    <row r="30" spans="1:4" x14ac:dyDescent="0.25">
      <c r="A30" s="68" t="s">
        <v>350</v>
      </c>
      <c r="B30" s="72" t="s">
        <v>351</v>
      </c>
      <c r="C30" s="73">
        <f>SUM(C20:C29)</f>
        <v>47.019999999999996</v>
      </c>
      <c r="D30" s="73">
        <f>SUM(D20:D29)</f>
        <v>16.760000000000002</v>
      </c>
    </row>
    <row r="31" spans="1:4" x14ac:dyDescent="0.25">
      <c r="A31" s="224" t="s">
        <v>352</v>
      </c>
      <c r="B31" s="225"/>
      <c r="C31" s="225"/>
      <c r="D31" s="226"/>
    </row>
    <row r="32" spans="1:4" x14ac:dyDescent="0.25">
      <c r="A32" s="69" t="s">
        <v>353</v>
      </c>
      <c r="B32" s="70" t="s">
        <v>354</v>
      </c>
      <c r="C32" s="71">
        <v>5.69</v>
      </c>
      <c r="D32" s="71">
        <v>4.32</v>
      </c>
    </row>
    <row r="33" spans="1:4" x14ac:dyDescent="0.25">
      <c r="A33" s="69" t="s">
        <v>355</v>
      </c>
      <c r="B33" s="70" t="s">
        <v>356</v>
      </c>
      <c r="C33" s="71">
        <v>0.13</v>
      </c>
      <c r="D33" s="71">
        <v>0.1</v>
      </c>
    </row>
    <row r="34" spans="1:4" x14ac:dyDescent="0.25">
      <c r="A34" s="69" t="s">
        <v>357</v>
      </c>
      <c r="B34" s="70" t="s">
        <v>358</v>
      </c>
      <c r="C34" s="71">
        <v>4.47</v>
      </c>
      <c r="D34" s="71">
        <v>3.39</v>
      </c>
    </row>
    <row r="35" spans="1:4" x14ac:dyDescent="0.25">
      <c r="A35" s="69" t="s">
        <v>359</v>
      </c>
      <c r="B35" s="70" t="s">
        <v>360</v>
      </c>
      <c r="C35" s="71">
        <v>3.93</v>
      </c>
      <c r="D35" s="71">
        <v>2.98</v>
      </c>
    </row>
    <row r="36" spans="1:4" x14ac:dyDescent="0.25">
      <c r="A36" s="69" t="s">
        <v>361</v>
      </c>
      <c r="B36" s="70" t="s">
        <v>362</v>
      </c>
      <c r="C36" s="71">
        <v>0.48</v>
      </c>
      <c r="D36" s="71">
        <v>0.36</v>
      </c>
    </row>
    <row r="37" spans="1:4" x14ac:dyDescent="0.25">
      <c r="A37" s="68" t="s">
        <v>363</v>
      </c>
      <c r="B37" s="72" t="s">
        <v>364</v>
      </c>
      <c r="C37" s="73">
        <f>SUM(C32:C36)</f>
        <v>14.7</v>
      </c>
      <c r="D37" s="73">
        <f>SUM(D32:D36)</f>
        <v>11.15</v>
      </c>
    </row>
    <row r="38" spans="1:4" x14ac:dyDescent="0.25">
      <c r="A38" s="224" t="s">
        <v>365</v>
      </c>
      <c r="B38" s="225"/>
      <c r="C38" s="225"/>
      <c r="D38" s="226"/>
    </row>
    <row r="39" spans="1:4" x14ac:dyDescent="0.25">
      <c r="A39" s="69" t="s">
        <v>366</v>
      </c>
      <c r="B39" s="70" t="s">
        <v>367</v>
      </c>
      <c r="C39" s="71">
        <v>17.3</v>
      </c>
      <c r="D39" s="71">
        <v>6.17</v>
      </c>
    </row>
    <row r="40" spans="1:4" ht="25.5" x14ac:dyDescent="0.25">
      <c r="A40" s="69" t="s">
        <v>368</v>
      </c>
      <c r="B40" s="74" t="s">
        <v>369</v>
      </c>
      <c r="C40" s="75">
        <v>0.5</v>
      </c>
      <c r="D40" s="75">
        <v>0.38</v>
      </c>
    </row>
    <row r="41" spans="1:4" x14ac:dyDescent="0.25">
      <c r="A41" s="68" t="s">
        <v>370</v>
      </c>
      <c r="B41" s="72" t="s">
        <v>371</v>
      </c>
      <c r="C41" s="73">
        <f>SUM(C39:C40)</f>
        <v>17.8</v>
      </c>
      <c r="D41" s="73">
        <f>SUM(D39:D40)</f>
        <v>6.55</v>
      </c>
    </row>
    <row r="42" spans="1:4" x14ac:dyDescent="0.25">
      <c r="A42" s="220" t="s">
        <v>372</v>
      </c>
      <c r="B42" s="220"/>
      <c r="C42" s="76">
        <f>(C18+C30+C37+C41)</f>
        <v>116.32</v>
      </c>
      <c r="D42" s="76">
        <f>D18+D30+D37+D41</f>
        <v>71.260000000000005</v>
      </c>
    </row>
    <row r="43" spans="1:4" x14ac:dyDescent="0.25">
      <c r="A43" s="77"/>
      <c r="B43" s="77"/>
      <c r="C43" s="77"/>
      <c r="D43" s="77"/>
    </row>
    <row r="44" spans="1:4" x14ac:dyDescent="0.25">
      <c r="A44" s="77"/>
      <c r="B44" s="77"/>
      <c r="C44" s="77"/>
      <c r="D44" s="77"/>
    </row>
    <row r="45" spans="1:4" x14ac:dyDescent="0.25">
      <c r="A45" s="77"/>
      <c r="B45" s="77"/>
      <c r="C45" s="77"/>
      <c r="D45" s="77"/>
    </row>
    <row r="48" spans="1:4" ht="15.75" x14ac:dyDescent="0.25">
      <c r="A48" s="130" t="s">
        <v>413</v>
      </c>
      <c r="B48" s="130"/>
      <c r="C48" s="130"/>
      <c r="D48" s="97"/>
    </row>
    <row r="49" spans="1:4" ht="15.75" x14ac:dyDescent="0.25">
      <c r="A49" s="130" t="s">
        <v>414</v>
      </c>
      <c r="B49" s="130"/>
      <c r="C49" s="130"/>
      <c r="D49" s="130"/>
    </row>
    <row r="50" spans="1:4" ht="15.75" x14ac:dyDescent="0.25">
      <c r="A50" s="130" t="s">
        <v>415</v>
      </c>
      <c r="B50" s="130"/>
      <c r="C50" s="130"/>
      <c r="D50" s="97"/>
    </row>
  </sheetData>
  <mergeCells count="13">
    <mergeCell ref="A1:D1"/>
    <mergeCell ref="A48:C48"/>
    <mergeCell ref="A49:D49"/>
    <mergeCell ref="A50:C50"/>
    <mergeCell ref="A2:D2"/>
    <mergeCell ref="A3:D3"/>
    <mergeCell ref="A4:D4"/>
    <mergeCell ref="A42:B42"/>
    <mergeCell ref="A6:D6"/>
    <mergeCell ref="A8:D8"/>
    <mergeCell ref="A19:D19"/>
    <mergeCell ref="A31:D31"/>
    <mergeCell ref="A38:D38"/>
  </mergeCells>
  <pageMargins left="0.9055118110236221" right="0.51181102362204722" top="0.78740157480314965" bottom="0.78740157480314965" header="0.31496062992125984" footer="0.31496062992125984"/>
  <pageSetup paperSize="9"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ORÇAMENTÁRIA</vt:lpstr>
      <vt:lpstr>CRONOGRAMA </vt:lpstr>
      <vt:lpstr>BDI </vt:lpstr>
      <vt:lpstr>LS</vt:lpstr>
      <vt:lpstr>'BDI '!Area_de_impressao</vt:lpstr>
      <vt:lpstr>'CRONOGRAMA '!Area_de_impressao</vt:lpstr>
      <vt:lpstr>'PLANILHA ORÇAMENTÁRIA'!Area_de_impressao</vt:lpstr>
      <vt:lpstr>'CRONOGRAMA '!Titulos_de_impressao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MEU PC</cp:lastModifiedBy>
  <cp:revision>2</cp:revision>
  <cp:lastPrinted>2023-03-06T01:28:44Z</cp:lastPrinted>
  <dcterms:created xsi:type="dcterms:W3CDTF">2019-02-11T12:56:59Z</dcterms:created>
  <dcterms:modified xsi:type="dcterms:W3CDTF">2023-03-16T12:08:16Z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XVersion">
    <vt:lpwstr>17.1.4.0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