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U PC\Desktop\003-2023-TP SEMA - REFORMA DO PREDIO\Projeto Engenharia\"/>
    </mc:Choice>
  </mc:AlternateContent>
  <xr:revisionPtr revIDLastSave="0" documentId="8_{662A03AB-0868-4F26-9161-BFD7DF7891A6}" xr6:coauthVersionLast="47" xr6:coauthVersionMax="47" xr10:uidLastSave="{00000000-0000-0000-0000-000000000000}"/>
  <bookViews>
    <workbookView xWindow="-120" yWindow="-120" windowWidth="21840" windowHeight="13140" tabRatio="822" activeTab="3" xr2:uid="{00000000-000D-0000-FFFF-FFFF00000000}"/>
  </bookViews>
  <sheets>
    <sheet name="Orçamento" sheetId="39" r:id="rId1"/>
    <sheet name="cronograma " sheetId="40" r:id="rId2"/>
    <sheet name="CURVA ABC" sheetId="41" r:id="rId3"/>
    <sheet name="BDI" sheetId="42" r:id="rId4"/>
  </sheets>
  <externalReferences>
    <externalReference r:id="rId5"/>
    <externalReference r:id="rId6"/>
    <externalReference r:id="rId7"/>
  </externalReferences>
  <definedNames>
    <definedName name="_Fill" localSheetId="3" hidden="1">#REF!</definedName>
    <definedName name="_Fill" localSheetId="1" hidden="1">#REF!</definedName>
    <definedName name="_Fill" hidden="1">#REF!</definedName>
    <definedName name="_xlnm._FilterDatabase" localSheetId="0" hidden="1">Orçamento!$D$1:$D$182</definedName>
    <definedName name="_Key1" localSheetId="3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3" hidden="1">#REF!</definedName>
    <definedName name="_Sort" localSheetId="1" hidden="1">#REF!</definedName>
    <definedName name="_Sort" hidden="1">#REF!</definedName>
    <definedName name="ACRE" hidden="1">#REF!</definedName>
    <definedName name="ademir" localSheetId="3" hidden="1">{#N/A,#N/A,FALSE,"Cronograma";#N/A,#N/A,FALSE,"Cronogr. 2"}</definedName>
    <definedName name="ademir" localSheetId="1" hidden="1">{#N/A,#N/A,FALSE,"Cronograma";#N/A,#N/A,FALSE,"Cronogr. 2"}</definedName>
    <definedName name="ademir" localSheetId="2" hidden="1">{#N/A,#N/A,FALSE,"Cronograma";#N/A,#N/A,FALSE,"Cronogr. 2"}</definedName>
    <definedName name="ademir" hidden="1">{#N/A,#N/A,FALSE,"Cronograma";#N/A,#N/A,FALSE,"Cronogr. 2"}</definedName>
    <definedName name="_xlnm.Print_Area" localSheetId="3">BDI!$A$1:$I$66</definedName>
    <definedName name="_xlnm.Print_Area" localSheetId="1">'cronograma '!$A$1:$H$49</definedName>
    <definedName name="_xlnm.Print_Area" localSheetId="2">'CURVA ABC'!$B$1:$G$57</definedName>
    <definedName name="_xlnm.Print_Area" localSheetId="0">Orçamento!$A$1:$J$143</definedName>
    <definedName name="bosta" localSheetId="3" hidden="1">{#N/A,#N/A,FALSE,"Cronograma";#N/A,#N/A,FALSE,"Cronogr. 2"}</definedName>
    <definedName name="bosta" localSheetId="1" hidden="1">{#N/A,#N/A,FALSE,"Cronograma";#N/A,#N/A,FALSE,"Cronogr. 2"}</definedName>
    <definedName name="bosta" localSheetId="2" hidden="1">{#N/A,#N/A,FALSE,"Cronograma";#N/A,#N/A,FALSE,"Cronogr. 2"}</definedName>
    <definedName name="bosta" hidden="1">{#N/A,#N/A,FALSE,"Cronograma";#N/A,#N/A,FALSE,"Cronogr. 2"}</definedName>
    <definedName name="CA´L" localSheetId="3" hidden="1">{#N/A,#N/A,FALSE,"Cronograma";#N/A,#N/A,FALSE,"Cronogr. 2"}</definedName>
    <definedName name="CA´L" localSheetId="1" hidden="1">{#N/A,#N/A,FALSE,"Cronograma";#N/A,#N/A,FALSE,"Cronogr. 2"}</definedName>
    <definedName name="CA´L" localSheetId="2" hidden="1">{#N/A,#N/A,FALSE,"Cronograma";#N/A,#N/A,FALSE,"Cronogr. 2"}</definedName>
    <definedName name="CA´L" hidden="1">{#N/A,#N/A,FALSE,"Cronograma";#N/A,#N/A,FALSE,"Cronogr. 2"}</definedName>
    <definedName name="concorrentes" localSheetId="3" hidden="1">{#N/A,#N/A,FALSE,"Cronograma";#N/A,#N/A,FALSE,"Cronogr. 2"}</definedName>
    <definedName name="concorrentes" localSheetId="1" hidden="1">{#N/A,#N/A,FALSE,"Cronograma";#N/A,#N/A,FALSE,"Cronogr. 2"}</definedName>
    <definedName name="concorrentes" localSheetId="2" hidden="1">{#N/A,#N/A,FALSE,"Cronograma";#N/A,#N/A,FALSE,"Cronogr. 2"}</definedName>
    <definedName name="concorrentes" hidden="1">{#N/A,#N/A,FALSE,"Cronograma";#N/A,#N/A,FALSE,"Cronogr. 2"}</definedName>
    <definedName name="cras" localSheetId="3" hidden="1">{#N/A,#N/A,FALSE,"Cronograma";#N/A,#N/A,FALSE,"Cronogr. 2"}</definedName>
    <definedName name="cras" localSheetId="2" hidden="1">{#N/A,#N/A,FALSE,"Cronograma";#N/A,#N/A,FALSE,"Cronogr. 2"}</definedName>
    <definedName name="cras" hidden="1">{#N/A,#N/A,FALSE,"Cronograma";#N/A,#N/A,FALSE,"Cronogr. 2"}</definedName>
    <definedName name="CRONOGRAMA" localSheetId="3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CRONOGRAMA" localSheetId="2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CRONOGRAMA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Popular" localSheetId="3" hidden="1">{#N/A,#N/A,FALSE,"Cronograma";#N/A,#N/A,FALSE,"Cronogr. 2"}</definedName>
    <definedName name="Popular" localSheetId="1" hidden="1">{#N/A,#N/A,FALSE,"Cronograma";#N/A,#N/A,FALSE,"Cronogr. 2"}</definedName>
    <definedName name="Popular" localSheetId="2" hidden="1">{#N/A,#N/A,FALSE,"Cronograma";#N/A,#N/A,FALSE,"Cronogr. 2"}</definedName>
    <definedName name="Popular" hidden="1">{#N/A,#N/A,FALSE,"Cronograma";#N/A,#N/A,FALSE,"Cronogr. 2"}</definedName>
    <definedName name="rio" localSheetId="3" hidden="1">{#N/A,#N/A,FALSE,"Cronograma";#N/A,#N/A,FALSE,"Cronogr. 2"}</definedName>
    <definedName name="rio" localSheetId="1" hidden="1">{#N/A,#N/A,FALSE,"Cronograma";#N/A,#N/A,FALSE,"Cronogr. 2"}</definedName>
    <definedName name="rio" localSheetId="2" hidden="1">{#N/A,#N/A,FALSE,"Cronograma";#N/A,#N/A,FALSE,"Cronogr. 2"}</definedName>
    <definedName name="rio" hidden="1">{#N/A,#N/A,FALSE,"Cronograma";#N/A,#N/A,FALSE,"Cronogr. 2"}</definedName>
    <definedName name="SINAPI_AC" hidden="1">#REF!</definedName>
    <definedName name="ss" localSheetId="3" hidden="1">{#N/A,#N/A,FALSE,"Cronograma";#N/A,#N/A,FALSE,"Cronogr. 2"}</definedName>
    <definedName name="ss" localSheetId="1" hidden="1">{#N/A,#N/A,FALSE,"Cronograma";#N/A,#N/A,FALSE,"Cronogr. 2"}</definedName>
    <definedName name="ss" localSheetId="2" hidden="1">{#N/A,#N/A,FALSE,"Cronograma";#N/A,#N/A,FALSE,"Cronogr. 2"}</definedName>
    <definedName name="ss" hidden="1">{#N/A,#N/A,FALSE,"Cronograma";#N/A,#N/A,FALSE,"Cronogr. 2"}</definedName>
    <definedName name="_xlnm.Print_Titles" localSheetId="0">Orçamento!$1:$7</definedName>
    <definedName name="wrn.Cronograma." localSheetId="3" hidden="1">{#N/A,#N/A,FALSE,"Cronograma";#N/A,#N/A,FALSE,"Cronogr. 2"}</definedName>
    <definedName name="wrn.Cronograma." localSheetId="1" hidden="1">{#N/A,#N/A,FALSE,"Cronograma";#N/A,#N/A,FALSE,"Cronogr. 2"}</definedName>
    <definedName name="wrn.Cronograma." localSheetId="2" hidden="1">{#N/A,#N/A,FALSE,"Cronograma";#N/A,#N/A,FALSE,"Cronogr. 2"}</definedName>
    <definedName name="wrn.Cronograma." hidden="1">{#N/A,#N/A,FALSE,"Cronograma";#N/A,#N/A,FALSE,"Cronogr. 2"}</definedName>
    <definedName name="wrn.GERAL." localSheetId="3" hidden="1">{#N/A,#N/A,FALSE,"ET-CAPA";#N/A,#N/A,FALSE,"ET-PAG1";#N/A,#N/A,FALSE,"ET-PAG2";#N/A,#N/A,FALSE,"ET-PAG3";#N/A,#N/A,FALSE,"ET-PAG4";#N/A,#N/A,FALSE,"ET-PAG5"}</definedName>
    <definedName name="wrn.GERAL." localSheetId="1" hidden="1">{#N/A,#N/A,FALSE,"ET-CAPA";#N/A,#N/A,FALSE,"ET-PAG1";#N/A,#N/A,FALSE,"ET-PAG2";#N/A,#N/A,FALSE,"ET-PAG3";#N/A,#N/A,FALSE,"ET-PAG4";#N/A,#N/A,FALSE,"ET-PAG5"}</definedName>
    <definedName name="wrn.GERAL." localSheetId="2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PENDENCIAS." localSheetId="3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localSheetId="1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localSheetId="2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XXX" localSheetId="3" hidden="1">{#N/A,#N/A,FALSE,"Cronograma";#N/A,#N/A,FALSE,"Cronogr. 2"}</definedName>
    <definedName name="XXX" localSheetId="2" hidden="1">{#N/A,#N/A,FALSE,"Cronograma";#N/A,#N/A,FALSE,"Cronogr. 2"}</definedName>
    <definedName name="XXX" hidden="1">{#N/A,#N/A,FALSE,"Cronograma";#N/A,#N/A,FALSE,"Cronogr. 2"}</definedName>
  </definedNames>
  <calcPr calcId="181029"/>
</workbook>
</file>

<file path=xl/calcChain.xml><?xml version="1.0" encoding="utf-8"?>
<calcChain xmlns="http://schemas.openxmlformats.org/spreadsheetml/2006/main">
  <c r="C9" i="42" l="1"/>
  <c r="C8" i="42"/>
  <c r="B4" i="41"/>
  <c r="C3" i="41"/>
  <c r="C2" i="41"/>
  <c r="C21" i="41"/>
  <c r="C20" i="41"/>
  <c r="B39" i="40"/>
  <c r="C18" i="41" s="1"/>
  <c r="B37" i="40"/>
  <c r="C12" i="41" s="1"/>
  <c r="B35" i="40"/>
  <c r="C22" i="41" s="1"/>
  <c r="B33" i="40"/>
  <c r="C19" i="41" s="1"/>
  <c r="B29" i="40"/>
  <c r="C10" i="41" s="1"/>
  <c r="B27" i="40"/>
  <c r="C11" i="41" s="1"/>
  <c r="B25" i="40"/>
  <c r="C13" i="41" s="1"/>
  <c r="B23" i="40"/>
  <c r="C23" i="41" s="1"/>
  <c r="B21" i="40"/>
  <c r="C14" i="41" s="1"/>
  <c r="B19" i="40"/>
  <c r="C9" i="41" s="1"/>
  <c r="B17" i="40"/>
  <c r="C16" i="41" s="1"/>
  <c r="B15" i="40"/>
  <c r="C15" i="41" s="1"/>
  <c r="B13" i="40"/>
  <c r="C17" i="41" s="1"/>
  <c r="A5" i="40"/>
  <c r="B4" i="40"/>
  <c r="B3" i="40"/>
  <c r="A2" i="40"/>
  <c r="B48" i="42" l="1"/>
  <c r="B46" i="42"/>
  <c r="C18" i="42"/>
  <c r="C25" i="42" s="1"/>
  <c r="B3" i="41"/>
  <c r="B2" i="41"/>
  <c r="A1" i="40"/>
  <c r="G13" i="39"/>
  <c r="I47" i="39"/>
  <c r="I48" i="39"/>
  <c r="J47" i="39"/>
  <c r="J48" i="39"/>
  <c r="G29" i="39" l="1"/>
  <c r="G25" i="39"/>
  <c r="G20" i="39"/>
  <c r="G131" i="39"/>
  <c r="H131" i="39"/>
  <c r="G62" i="39" l="1"/>
  <c r="G41" i="39" l="1"/>
  <c r="G117" i="39"/>
  <c r="G67" i="39"/>
  <c r="G65" i="39"/>
  <c r="G53" i="39" l="1"/>
  <c r="G39" i="39"/>
  <c r="G40" i="39" s="1"/>
  <c r="G38" i="39"/>
  <c r="G11" i="39" s="1"/>
  <c r="G35" i="39"/>
  <c r="G56" i="39" s="1"/>
  <c r="G57" i="39" s="1"/>
  <c r="G17" i="39"/>
  <c r="G18" i="39" s="1"/>
  <c r="G12" i="39"/>
  <c r="G14" i="39"/>
  <c r="G10" i="39"/>
  <c r="I41" i="39" l="1"/>
  <c r="J41" i="39" s="1"/>
  <c r="I62" i="39" l="1"/>
  <c r="J62" i="39" s="1"/>
  <c r="G111" i="39" l="1"/>
  <c r="G66" i="39" l="1"/>
  <c r="G9" i="39" l="1"/>
  <c r="I46" i="39" l="1"/>
  <c r="I35" i="39"/>
  <c r="J35" i="39" s="1"/>
  <c r="I25" i="39"/>
  <c r="J25" i="39" s="1"/>
  <c r="I26" i="39"/>
  <c r="J26" i="39" s="1"/>
  <c r="I18" i="39"/>
  <c r="J18" i="39" s="1"/>
  <c r="I19" i="39"/>
  <c r="J19" i="39" s="1"/>
  <c r="I20" i="39"/>
  <c r="J20" i="39" s="1"/>
  <c r="I17" i="39"/>
  <c r="I10" i="39"/>
  <c r="J10" i="39" s="1"/>
  <c r="I11" i="39"/>
  <c r="J11" i="39" s="1"/>
  <c r="I12" i="39"/>
  <c r="J12" i="39" s="1"/>
  <c r="I13" i="39"/>
  <c r="J13" i="39" s="1"/>
  <c r="I14" i="39"/>
  <c r="J14" i="39" s="1"/>
  <c r="I24" i="39" l="1"/>
  <c r="I28" i="39"/>
  <c r="I29" i="39"/>
  <c r="I30" i="39"/>
  <c r="I32" i="39"/>
  <c r="I38" i="39"/>
  <c r="I39" i="39"/>
  <c r="J39" i="39" s="1"/>
  <c r="I40" i="39"/>
  <c r="J40" i="39" s="1"/>
  <c r="I42" i="39"/>
  <c r="J42" i="39" s="1"/>
  <c r="J46" i="39"/>
  <c r="I50" i="39"/>
  <c r="J50" i="39" s="1"/>
  <c r="I53" i="39"/>
  <c r="J53" i="39" s="1"/>
  <c r="J54" i="39" s="1"/>
  <c r="C23" i="40" s="1"/>
  <c r="I56" i="39"/>
  <c r="J56" i="39" s="1"/>
  <c r="I57" i="39"/>
  <c r="J57" i="39" s="1"/>
  <c r="I61" i="39"/>
  <c r="I65" i="39"/>
  <c r="I66" i="39"/>
  <c r="I67" i="39"/>
  <c r="I71" i="39"/>
  <c r="I72" i="39"/>
  <c r="J72" i="39" s="1"/>
  <c r="I73" i="39"/>
  <c r="J73" i="39" s="1"/>
  <c r="I74" i="39"/>
  <c r="J74" i="39" s="1"/>
  <c r="I75" i="39"/>
  <c r="J75" i="39" s="1"/>
  <c r="I76" i="39"/>
  <c r="J76" i="39" s="1"/>
  <c r="I77" i="39"/>
  <c r="J77" i="39" s="1"/>
  <c r="I78" i="39"/>
  <c r="J78" i="39" s="1"/>
  <c r="I80" i="39"/>
  <c r="J80" i="39" s="1"/>
  <c r="I81" i="39"/>
  <c r="I82" i="39"/>
  <c r="I85" i="39"/>
  <c r="I86" i="39"/>
  <c r="J86" i="39" s="1"/>
  <c r="I87" i="39"/>
  <c r="J87" i="39" s="1"/>
  <c r="I88" i="39"/>
  <c r="J88" i="39" s="1"/>
  <c r="I89" i="39"/>
  <c r="J89" i="39" s="1"/>
  <c r="I90" i="39"/>
  <c r="J90" i="39" s="1"/>
  <c r="I91" i="39"/>
  <c r="J91" i="39" s="1"/>
  <c r="I92" i="39"/>
  <c r="J92" i="39" s="1"/>
  <c r="I93" i="39"/>
  <c r="J93" i="39" s="1"/>
  <c r="I94" i="39"/>
  <c r="J94" i="39" s="1"/>
  <c r="I95" i="39"/>
  <c r="J95" i="39" s="1"/>
  <c r="I96" i="39"/>
  <c r="J96" i="39" s="1"/>
  <c r="I99" i="39"/>
  <c r="I100" i="39"/>
  <c r="J100" i="39" s="1"/>
  <c r="I101" i="39"/>
  <c r="J101" i="39" s="1"/>
  <c r="I102" i="39"/>
  <c r="J102" i="39" s="1"/>
  <c r="I103" i="39"/>
  <c r="J103" i="39" s="1"/>
  <c r="I104" i="39"/>
  <c r="J104" i="39" s="1"/>
  <c r="I105" i="39"/>
  <c r="J105" i="39" s="1"/>
  <c r="I109" i="39"/>
  <c r="I110" i="39"/>
  <c r="J110" i="39" s="1"/>
  <c r="I111" i="39"/>
  <c r="J111" i="39" s="1"/>
  <c r="I112" i="39"/>
  <c r="J112" i="39" s="1"/>
  <c r="I114" i="39"/>
  <c r="J114" i="39" s="1"/>
  <c r="I115" i="39"/>
  <c r="J115" i="39" s="1"/>
  <c r="I117" i="39"/>
  <c r="J117" i="39" s="1"/>
  <c r="I118" i="39"/>
  <c r="J118" i="39" s="1"/>
  <c r="I119" i="39"/>
  <c r="J119" i="39" s="1"/>
  <c r="I121" i="39"/>
  <c r="J121" i="39" s="1"/>
  <c r="I122" i="39"/>
  <c r="J122" i="39" s="1"/>
  <c r="I123" i="39"/>
  <c r="J123" i="39" s="1"/>
  <c r="I124" i="39"/>
  <c r="J124" i="39" s="1"/>
  <c r="I125" i="39"/>
  <c r="J125" i="39" s="1"/>
  <c r="I126" i="39"/>
  <c r="J126" i="39" s="1"/>
  <c r="I127" i="39"/>
  <c r="J127" i="39" s="1"/>
  <c r="I130" i="39"/>
  <c r="I131" i="39"/>
  <c r="I132" i="39"/>
  <c r="I133" i="39"/>
  <c r="D23" i="41" l="1"/>
  <c r="F24" i="40"/>
  <c r="J51" i="39"/>
  <c r="C21" i="40" s="1"/>
  <c r="J58" i="39"/>
  <c r="C25" i="40" s="1"/>
  <c r="I9" i="39"/>
  <c r="D14" i="41" l="1"/>
  <c r="H22" i="40"/>
  <c r="G22" i="40"/>
  <c r="D13" i="41"/>
  <c r="G26" i="40"/>
  <c r="H26" i="40"/>
  <c r="J132" i="39"/>
  <c r="J133" i="39"/>
  <c r="J131" i="39" l="1"/>
  <c r="J67" i="39"/>
  <c r="J32" i="39" l="1"/>
  <c r="J30" i="39"/>
  <c r="J29" i="39"/>
  <c r="J28" i="39"/>
  <c r="J17" i="39"/>
  <c r="J21" i="39" l="1"/>
  <c r="C13" i="40" s="1"/>
  <c r="J24" i="39"/>
  <c r="J33" i="39" s="1"/>
  <c r="C15" i="40" s="1"/>
  <c r="E16" i="40" l="1"/>
  <c r="D15" i="41"/>
  <c r="G16" i="40"/>
  <c r="F16" i="40"/>
  <c r="D17" i="41"/>
  <c r="E14" i="40"/>
  <c r="J66" i="39"/>
  <c r="J9" i="39" l="1"/>
  <c r="J15" i="39" s="1"/>
  <c r="C11" i="40" s="1"/>
  <c r="D20" i="41" l="1"/>
  <c r="E12" i="40"/>
  <c r="J130" i="39"/>
  <c r="J134" i="39" s="1"/>
  <c r="C39" i="40" s="1"/>
  <c r="H40" i="40" l="1"/>
  <c r="D18" i="41"/>
  <c r="G40" i="40"/>
  <c r="J71" i="39"/>
  <c r="J81" i="39"/>
  <c r="J82" i="39"/>
  <c r="J83" i="39" l="1"/>
  <c r="C31" i="40" s="1"/>
  <c r="J109" i="39"/>
  <c r="D21" i="41" l="1"/>
  <c r="E32" i="40"/>
  <c r="J99" i="39"/>
  <c r="J106" i="39" s="1"/>
  <c r="C35" i="40" s="1"/>
  <c r="G36" i="40" l="1"/>
  <c r="H36" i="40"/>
  <c r="D22" i="41"/>
  <c r="J61" i="39"/>
  <c r="J38" i="39" l="1"/>
  <c r="J43" i="39" s="1"/>
  <c r="C19" i="40" s="1"/>
  <c r="D9" i="41" l="1"/>
  <c r="E20" i="40"/>
  <c r="F20" i="40"/>
  <c r="G20" i="40"/>
  <c r="J63" i="39"/>
  <c r="C27" i="40" s="1"/>
  <c r="F28" i="40" l="1"/>
  <c r="G28" i="40"/>
  <c r="D11" i="41"/>
  <c r="H28" i="40"/>
  <c r="J85" i="39"/>
  <c r="J97" i="39" s="1"/>
  <c r="C33" i="40" s="1"/>
  <c r="F34" i="40" l="1"/>
  <c r="E34" i="40"/>
  <c r="D19" i="41"/>
  <c r="J65" i="39"/>
  <c r="J128" i="39" l="1"/>
  <c r="C37" i="40" s="1"/>
  <c r="G38" i="40" l="1"/>
  <c r="F38" i="40"/>
  <c r="H38" i="40"/>
  <c r="E38" i="40"/>
  <c r="D12" i="41"/>
  <c r="J68" i="39"/>
  <c r="C29" i="40" s="1"/>
  <c r="J36" i="39"/>
  <c r="J135" i="39" l="1"/>
  <c r="C17" i="40"/>
  <c r="H30" i="40"/>
  <c r="H41" i="40" s="1"/>
  <c r="D10" i="41"/>
  <c r="G30" i="40"/>
  <c r="G41" i="40" s="1"/>
  <c r="F30" i="40"/>
  <c r="D24" i="41" l="1"/>
  <c r="E18" i="40"/>
  <c r="E41" i="40" s="1"/>
  <c r="D16" i="41"/>
  <c r="F18" i="40"/>
  <c r="F41" i="40" s="1"/>
  <c r="C41" i="40"/>
  <c r="D23" i="40" l="1"/>
  <c r="D25" i="40"/>
  <c r="D21" i="40"/>
  <c r="D13" i="40"/>
  <c r="D15" i="40"/>
  <c r="D11" i="40"/>
  <c r="D39" i="40"/>
  <c r="D31" i="40"/>
  <c r="D35" i="40"/>
  <c r="D19" i="40"/>
  <c r="D27" i="40"/>
  <c r="D33" i="40"/>
  <c r="D37" i="40"/>
  <c r="D29" i="40"/>
  <c r="E23" i="41"/>
  <c r="E13" i="41"/>
  <c r="E14" i="41"/>
  <c r="E15" i="41"/>
  <c r="E17" i="41"/>
  <c r="E20" i="41"/>
  <c r="E18" i="41"/>
  <c r="E21" i="41"/>
  <c r="E22" i="41"/>
  <c r="E9" i="41"/>
  <c r="F9" i="41" s="1"/>
  <c r="G9" i="41" s="1"/>
  <c r="E11" i="41"/>
  <c r="E19" i="41"/>
  <c r="E12" i="41"/>
  <c r="F42" i="40"/>
  <c r="E10" i="41"/>
  <c r="E43" i="40"/>
  <c r="F43" i="40" s="1"/>
  <c r="G43" i="40" s="1"/>
  <c r="H43" i="40" s="1"/>
  <c r="E42" i="40"/>
  <c r="E44" i="40" s="1"/>
  <c r="D17" i="40"/>
  <c r="G42" i="40"/>
  <c r="E16" i="41"/>
  <c r="H42" i="40"/>
  <c r="F44" i="40" l="1"/>
  <c r="G44" i="40" s="1"/>
  <c r="H44" i="40" s="1"/>
  <c r="F10" i="41"/>
  <c r="G10" i="41" s="1"/>
  <c r="F11" i="41"/>
  <c r="G11" i="41" s="1"/>
  <c r="F12" i="41" l="1"/>
  <c r="G12" i="41" l="1"/>
  <c r="F13" i="41"/>
  <c r="G13" i="41" l="1"/>
  <c r="F14" i="41"/>
  <c r="G14" i="41" l="1"/>
  <c r="F15" i="41"/>
  <c r="G15" i="41" l="1"/>
  <c r="F16" i="41"/>
  <c r="G16" i="41" l="1"/>
  <c r="F17" i="41"/>
  <c r="G17" i="41" l="1"/>
  <c r="F18" i="41"/>
  <c r="G18" i="41" l="1"/>
  <c r="F19" i="41"/>
  <c r="F20" i="41" l="1"/>
  <c r="G19" i="41"/>
  <c r="F22" i="41"/>
  <c r="G22" i="41" l="1"/>
  <c r="F23" i="41"/>
  <c r="G23" i="41" s="1"/>
  <c r="G20" i="41"/>
  <c r="F21" i="41"/>
  <c r="G21" i="41" s="1"/>
  <c r="G31" i="41" l="1"/>
  <c r="G30" i="41"/>
  <c r="F30" i="41"/>
  <c r="F29" i="41"/>
  <c r="G29" i="41"/>
  <c r="F31" i="41"/>
</calcChain>
</file>

<file path=xl/sharedStrings.xml><?xml version="1.0" encoding="utf-8"?>
<sst xmlns="http://schemas.openxmlformats.org/spreadsheetml/2006/main" count="498" uniqueCount="300">
  <si>
    <t>11.1</t>
  </si>
  <si>
    <t>12.1</t>
  </si>
  <si>
    <t>12.2</t>
  </si>
  <si>
    <t>13.2</t>
  </si>
  <si>
    <t>14.1</t>
  </si>
  <si>
    <t>14.2</t>
  </si>
  <si>
    <t>13.1</t>
  </si>
  <si>
    <t>ITEM</t>
  </si>
  <si>
    <t>CÓDIGO</t>
  </si>
  <si>
    <t>FONTE</t>
  </si>
  <si>
    <t>un</t>
  </si>
  <si>
    <t>2.1</t>
  </si>
  <si>
    <t>m³</t>
  </si>
  <si>
    <t>4.1</t>
  </si>
  <si>
    <t>SINAPI</t>
  </si>
  <si>
    <t>m²</t>
  </si>
  <si>
    <t>5.1</t>
  </si>
  <si>
    <t>5.2</t>
  </si>
  <si>
    <t>kg</t>
  </si>
  <si>
    <t>m</t>
  </si>
  <si>
    <t>7.1</t>
  </si>
  <si>
    <t>ALVENARIA DE VEDAÇÃO</t>
  </si>
  <si>
    <t>10.1</t>
  </si>
  <si>
    <t>10.2</t>
  </si>
  <si>
    <t>CONCRETO ARMADO - PILARES</t>
  </si>
  <si>
    <t>CONCRETO ARMADO - VIGAS</t>
  </si>
  <si>
    <t xml:space="preserve">Subtotal </t>
  </si>
  <si>
    <t>5.3</t>
  </si>
  <si>
    <t>11.2</t>
  </si>
  <si>
    <t>14.3</t>
  </si>
  <si>
    <t>14.4</t>
  </si>
  <si>
    <t>3.1.1</t>
  </si>
  <si>
    <t>3.1.2</t>
  </si>
  <si>
    <t>3.1.3</t>
  </si>
  <si>
    <t>3.2.1</t>
  </si>
  <si>
    <t>3.2.2</t>
  </si>
  <si>
    <t>3.2.3</t>
  </si>
  <si>
    <t>SERVIÇOS PRELIMINARES</t>
  </si>
  <si>
    <t>SUPERESTRUTURA</t>
  </si>
  <si>
    <t>ESQUADRIAS</t>
  </si>
  <si>
    <t>Custo TOTAL com BDI</t>
  </si>
  <si>
    <t>REVESTIMENTOS INTERNO E EXTERNO</t>
  </si>
  <si>
    <t>PINTURAS E ACABAMENTOS</t>
  </si>
  <si>
    <t>SISTEMAS DE PISOS</t>
  </si>
  <si>
    <t>INSTALAÇÃO HIDRÁULICA</t>
  </si>
  <si>
    <t>ORSE</t>
  </si>
  <si>
    <t>APLICAÇÃO MANUAL DE PINTURA COM TINTA LÁTEX ACRÍLICA EM PAREDES, DUAS DEMÃOS.</t>
  </si>
  <si>
    <t>COBERTURA /FORRO</t>
  </si>
  <si>
    <t>INSTALAÇÃO ELETRICA</t>
  </si>
  <si>
    <t>CAIXA SINFONADA, COM QUATRO ENTRADAS E UMA SAIDA, 100X100X50mm, COM GRELHA, AKROS OU SIMILAR.</t>
  </si>
  <si>
    <t>DISJUNTOR TERMOMAGNETICO MONOPOLAR DE 10 A 30A, FORNECIMENTO E INSTALAÇÃO</t>
  </si>
  <si>
    <t>PREFEITURA MUNICIPAL DE PORTEL</t>
  </si>
  <si>
    <t>TOMADA UNIVERSAL 2P+T 10A/250V COM SUPORTE E PLACA, FORNECIMENTO E INSTALAÇÃO.</t>
  </si>
  <si>
    <t>Subtotal</t>
  </si>
  <si>
    <t>OBRA:</t>
  </si>
  <si>
    <t>BDI:</t>
  </si>
  <si>
    <t xml:space="preserve">LOCAL: </t>
  </si>
  <si>
    <t>HORA:</t>
  </si>
  <si>
    <t>MÊS:</t>
  </si>
  <si>
    <t>INSTALAÇÃO DE ESGOTO (ÁREA DE SERVIÇO)</t>
  </si>
  <si>
    <t xml:space="preserve">DESCRIÇÃO DOS SERVIÇOS </t>
  </si>
  <si>
    <t>UNID</t>
  </si>
  <si>
    <t>QUANT</t>
  </si>
  <si>
    <t>P. UNIT (R$) SEM BDI</t>
  </si>
  <si>
    <t>P. UNIT (R$) COM BDI</t>
  </si>
  <si>
    <t>VALOR TOTAL (R$)</t>
  </si>
  <si>
    <t>LOUÇAS E ACESSORIOS</t>
  </si>
  <si>
    <t>DISJUNTOR TERMOMAGNETICO MONOPOLAR DE 35 A 50A, FORNECIMENTO E INSTALAÇÃO</t>
  </si>
  <si>
    <t>SEDOP</t>
  </si>
  <si>
    <t>1.1</t>
  </si>
  <si>
    <t>13.5</t>
  </si>
  <si>
    <t>13.6</t>
  </si>
  <si>
    <t>13.7</t>
  </si>
  <si>
    <t>1.5</t>
  </si>
  <si>
    <t>2.4</t>
  </si>
  <si>
    <t>JOELHO PVC 90º 50MM</t>
  </si>
  <si>
    <t>5.4</t>
  </si>
  <si>
    <t>APLICAÇÃO E LIXAMENTO DE MASSA LÁTEX EM PAREDES, DUAS DEMÃOS</t>
  </si>
  <si>
    <t>ESCAVAÇÃO MANUAL DE VALA COM PROFUNDIDADE MENOR OU IGUAL A 1,30 M.</t>
  </si>
  <si>
    <t>CONCRETO PARA SAPATA, FCK 25 Mpa</t>
  </si>
  <si>
    <t xml:space="preserve">SERVIÇOS COMPLEMENTARIES </t>
  </si>
  <si>
    <t>1.2</t>
  </si>
  <si>
    <t>1.6</t>
  </si>
  <si>
    <t>2.2</t>
  </si>
  <si>
    <t>3.3.1</t>
  </si>
  <si>
    <t>12.3</t>
  </si>
  <si>
    <t>12.4</t>
  </si>
  <si>
    <t>12.5</t>
  </si>
  <si>
    <t>Elias André Gomes Pinheiro</t>
  </si>
  <si>
    <t>Engenheiro Responsável</t>
  </si>
  <si>
    <t>CREA 1519607806</t>
  </si>
  <si>
    <t>PLACA DA OBRA EM LONA COM PLOTAGEM GRÁFICA</t>
  </si>
  <si>
    <t>REMOÇÃO DE PORTAS, DE FORMA MANUAL, SEM REAPROVEITAMENTO.</t>
  </si>
  <si>
    <t>DEMOLIÇÃO DE CONCRETO MANUALMENTE</t>
  </si>
  <si>
    <t>DEMOLIÇÃO DE PISO CERÂMICO OU LADRILHO</t>
  </si>
  <si>
    <r>
      <rPr>
        <sz val="10"/>
        <rFont val="Arial"/>
        <family val="2"/>
      </rPr>
      <t>DEMOLIÇÃO DE ALVENARIA DE BLOCO FURADO, DE FORMA MANUAL, SEM
REAPROVEITAMENTO</t>
    </r>
  </si>
  <si>
    <t>FUNDAÇÃO</t>
  </si>
  <si>
    <t>CONCRETO CICLÓPICO</t>
  </si>
  <si>
    <r>
      <rPr>
        <sz val="10"/>
        <rFont val="Arial"/>
        <family val="2"/>
      </rPr>
      <t>ARMAÇÃO DE ESTRUTURAS DE CONCRETO ARMADO, VIGAS, PILARES, LAJE E FUNDAÇÕES,
UTILIZANDO AÇO CA-50 DE 10,0 MM - FORNECIMENTO E MONTAGEM.</t>
    </r>
  </si>
  <si>
    <t>CONCRETO ARMADO - VERGAS E CONTRAVERGAS</t>
  </si>
  <si>
    <t>VERGA PRÉ-MOLDADA PARA JANELAS COM ATÉ 1,5 M DE VÃO. AF_03/2016</t>
  </si>
  <si>
    <r>
      <rPr>
        <sz val="10"/>
        <rFont val="Arial"/>
        <family val="2"/>
      </rPr>
      <t>MONTAGEM E DESMONTAGEM DE FÔRMA DE PILARES RETANGULARES E ESTRUTURAS SIMILARES COM ÁREA MÉDIA DAS SEÇÕES MAIOR QUE 0,25 M², PÉ-DIREITO SIMPL
ES, EM CHAPA DE MADEIRA COMPENSADA PLASTIFICADA.</t>
    </r>
  </si>
  <si>
    <r>
      <rPr>
        <sz val="10"/>
        <rFont val="Arial"/>
        <family val="2"/>
      </rPr>
      <t>ARMAÇÃO DE ESTRUTURAS DE CONCRETO ARMADO, VIGAS, PILARES, LAJE SE FUNDAÇÕES,
UTILIZANDO AÇO CA-50 DE 10,0 MM - FORNECIMENTO E MONTAGEM.</t>
    </r>
  </si>
  <si>
    <r>
      <rPr>
        <sz val="10"/>
        <rFont val="Arial"/>
        <family val="2"/>
      </rPr>
      <t>CONCRETAGEM DE PILARES, FCK = 25 MPA, COM USO DE GRUA EM EDIFICAÇÃO COM SEÇÃO MÉDIA DE PILARES MENOR OU IGUAL A 0,25 M² - LANÇAMENTO, ADENSAMENTO E
ACABAMENTO.</t>
    </r>
  </si>
  <si>
    <r>
      <rPr>
        <sz val="10"/>
        <rFont val="Arial"/>
        <family val="2"/>
      </rPr>
      <t>CHAPISCO APLICADO EM ALVENARIA E ESTRUTURA DE CONCRETO DE FACHADA, COM
COLHER DE PEDREIRO. ARGAMASSA TRAÇO 1 : 3 COM PREPARO EM BETONEIRA 400 L.</t>
    </r>
  </si>
  <si>
    <r>
      <rPr>
        <sz val="10"/>
        <rFont val="Arial"/>
        <family val="2"/>
      </rPr>
      <t>MASSA ÚNICA, PARA RECEBIMENTO DE PINTURA, EM ARGAMASSA TRAÇO 1:2:8, PREPARO MECÂNICO COM BETONEIRA 400L, APLICADA MANUALMENTE EM FACES INTERNAS DE
PAREDES, ESPESSURA DE 20MM, COM EXECUÇÃO DE TALISCAS.</t>
    </r>
  </si>
  <si>
    <t>PAVIMENTAÇÃO INTERNA E EXTERNA</t>
  </si>
  <si>
    <t>9.1.1</t>
  </si>
  <si>
    <t>9.1.2</t>
  </si>
  <si>
    <r>
      <rPr>
        <sz val="10"/>
        <rFont val="Arial"/>
        <family val="2"/>
      </rPr>
      <t>PINTURA COM TINTA ESMALTE SINTÉTICO, APLICADO A ROLO OU PINCEL SOBRE
SUPERFÍCIES METÁLICAS, 2 DEMÃOS</t>
    </r>
  </si>
  <si>
    <t>TUBULAÇÕES E CONEXÕES DE PVC</t>
  </si>
  <si>
    <r>
      <rPr>
        <sz val="11"/>
        <rFont val="Arial"/>
        <family val="2"/>
      </rPr>
      <t>TUBO, PVC, SOLDÁVEL, DN 20MM, INSTALADO EM RAMAL DE DISTRIBUIÇÃO DE ÁGUA -
FORNECIMENTO E INSTALAÇÃO.</t>
    </r>
  </si>
  <si>
    <t>TÊ, PVC, SOLDÁVEL, DN 20MM, INSTALADO EM RAMAL DE DISTRIBUIÇÃO DE ÁGUA- FORNECIMENTO E INSTALAÇÃO.</t>
  </si>
  <si>
    <t>BÓIA ELÉTRICA PARA RESERVATÓRIO SUPERIOR, MARCA AQUAMATIC OU SIMILAR - FORNECIMENTO E INSTALAÇÃO</t>
  </si>
  <si>
    <t>TUBO PVC RÍGIDO SOLDÁVEL P/ ÁGUA, d 25 mm (3/4")</t>
  </si>
  <si>
    <t>JOELHO 90 GRAUS, PVC, SOLDÁVEL, DN 25MM, INSTALADO EM RAMAL DE DISTRIBUIÇÃO DE ÁGUA - FORNECIMENTO E INSTALAÇÃO.</t>
  </si>
  <si>
    <t>REGISTROS E OUTROS</t>
  </si>
  <si>
    <t>REGISTRO DE GAVETA BRUTO, LATÃO, ROSCÁVEL, 3/4", FORNECIDO E INSTALADO EM RAMAL DE ÁGUA.</t>
  </si>
  <si>
    <t>CAIXA D'ÁGUA EM POLIETILENO, 500 LITROS, COM ACESSÓRIOS</t>
  </si>
  <si>
    <t>BOMBA RECALQUE D'AGUA TRIFASICA 1,5HP</t>
  </si>
  <si>
    <t>TOBO DE PVC Ø 50mm, FORNECIMENTO E INSTALAÇÃO</t>
  </si>
  <si>
    <t>TUBO DE PVC Ø 100mm, FORNECIMENTO E INSTALAÇÃO</t>
  </si>
  <si>
    <t>JOELHO PVC 90º 100MM</t>
  </si>
  <si>
    <t>TÊ PVC SANITÁRIO 100mm-50mm</t>
  </si>
  <si>
    <t>TERMINAL DE VENTILAÇÃO 50mm</t>
  </si>
  <si>
    <t>RALO LINEAR 50cm</t>
  </si>
  <si>
    <t>CAIXA DE GORDURA SIMPLES</t>
  </si>
  <si>
    <t>CAIXA DE INSPEÇÃO, 0,3X0,3M</t>
  </si>
  <si>
    <t>FOSSA SÉPTICA, VOLUME 5290 LITROS</t>
  </si>
  <si>
    <t>SUMIDOURO COM BLOCOS CERÂMICOS 6 FUROS E DIMENSÕES INTERNAS 1,50X1,50X0,60 m</t>
  </si>
  <si>
    <t>12.6</t>
  </si>
  <si>
    <t>12.8</t>
  </si>
  <si>
    <t>12.9</t>
  </si>
  <si>
    <t>12.10</t>
  </si>
  <si>
    <t>12.11</t>
  </si>
  <si>
    <t>SABONETEIRA DE PAREDE EM METAL CROMADO, INCLUINDO FIXAÇÃO</t>
  </si>
  <si>
    <t>BARRA DE APOIO 60 CM, AÇO INOX POLIDO, DECA OU ESQUIVALENTE</t>
  </si>
  <si>
    <t>ASSENTO PLÁSTICO, BRANCO, PARA VASO SANITÁRIO, TIPO CONVENCIONAL.</t>
  </si>
  <si>
    <t>VASO SANITÁRIO SIFONADO COM CAIXA ACOPLADA LOUÇA BRANCA, INCLUSO ENGATE</t>
  </si>
  <si>
    <t>ENGATE FLEXÍVEL EM PLÁSTICO BRANCO, 1/2 X 30CM - FORNECIMENTO E INSTALAÇÃO.</t>
  </si>
  <si>
    <t>PAPELEIRA METÁLICA LINHA IZY, CÓDIGO 2020.C37, DECA OU EQUIVALENTE; FORNECIMENTO</t>
  </si>
  <si>
    <t>DISPENSER TOALHA LINHA EXCELLENCE, EM METAL CROMADO, CÓDIGO 7007;</t>
  </si>
  <si>
    <t>CENTRO DE DISTRIBUIÇÃO</t>
  </si>
  <si>
    <t>QUADRO DE MEDIÇÃO BIFASICO C/DISJUNTOR - FORNECIMENTO E INSTALAÇÃO</t>
  </si>
  <si>
    <t>ELETRODUTOS E ACESSÓRIOS</t>
  </si>
  <si>
    <t>CAIXA DE PASSAGEM PVC 4X2"</t>
  </si>
  <si>
    <t>CABOS E FIOS CONDUTORES</t>
  </si>
  <si>
    <t>ILUMINAÇÃO, TOMADAS E INTERRUPTORES</t>
  </si>
  <si>
    <t>LUMINÁRIAS TIPO CALHA, DE SOBREPOR, COM REATORES DE PARTIDA RÁPIDA E LÂMPADAS FLUORESCENTES 20W, COMPLETAS, FORNECIMENTO E INSTALAÇÃO (OU SIMILAR)</t>
  </si>
  <si>
    <r>
      <rPr>
        <sz val="11"/>
        <rFont val="Arial"/>
        <family val="2"/>
      </rPr>
      <t>ELETRODUTO PVC FLEXÍVEL CORRUGADO REFORÇADO Ø 25MM, FORNECIMENTO E
INSTALAÇÃO.</t>
    </r>
  </si>
  <si>
    <r>
      <rPr>
        <sz val="11"/>
        <rFont val="Arial"/>
        <family val="2"/>
      </rPr>
      <t>CABO DE COBRE FLEXÍVEL ISOLADO, 2,5 MM², ANTI-CHAMA 450/750 V, PARA CIRCUITOS
TERMINAIS - FORMECIMENTO E INSTALAÇÃO.</t>
    </r>
  </si>
  <si>
    <r>
      <rPr>
        <sz val="11"/>
        <rFont val="Arial"/>
        <family val="2"/>
      </rPr>
      <t>CABO DE COBRE FLEXÍVEL ISOLADO, 4 MM², ANTI-CHAMA 450/750 V, PARA CIRCUITOS
TERMINAIS - FORNECIMENTO E INSTALAÇÃO</t>
    </r>
  </si>
  <si>
    <r>
      <rPr>
        <sz val="11"/>
        <rFont val="Arial"/>
        <family val="2"/>
      </rPr>
      <t>CABO DE COBRE FLEXÍVEL ISOLADO, 6 MM², ANTI-CHAMA 450/750 V, PARA CIRCUITOS
TERMINAIS- FORNECIMENTO E INSTALAÇÃO.</t>
    </r>
  </si>
  <si>
    <r>
      <rPr>
        <sz val="11"/>
        <rFont val="Arial"/>
        <family val="2"/>
      </rPr>
      <t>INTERRUPTOR SIMPLES 1 TECLA 10A/250V COM SUPORTE E PLACA, FORNECIMENTO E
INSTALAÇÃO.</t>
    </r>
  </si>
  <si>
    <r>
      <rPr>
        <sz val="11"/>
        <rFont val="Arial"/>
        <family val="2"/>
      </rPr>
      <t>INTERRUPTOR SIMPLES 2 TECLA 10A/250V COM SUPORTE E PLACA, FORNECIMENTO E
INSTALAÇÃO.</t>
    </r>
  </si>
  <si>
    <t>LIMPEZA FINAL PARA ENTREGA DA OBRA</t>
  </si>
  <si>
    <t>6.1.1</t>
  </si>
  <si>
    <t>6.1.3</t>
  </si>
  <si>
    <t>JANELAS</t>
  </si>
  <si>
    <t>JANELA DE ALUMÍNIO DE CORRER COM 2 FOLHAS PARA VIDRO, COM VIDROS, BATENTE, ACABAMENTO COM ACETATO OU BRILHANTE E FERRAGENS. FORNECIMENTO E INSTALAÇÃO.</t>
  </si>
  <si>
    <r>
      <rPr>
        <sz val="10"/>
        <rFont val="Arial"/>
        <family val="2"/>
      </rPr>
      <t>KIT DE PORTA PRONTA DE MADEIRA EM ACABAMENTO MELAMÍNICO BRANCO, FOLHA LEVE OU MÉDIA, 70 X 210 CM, FECHADURA, FIXAÇÃO COM PREENCHIMENTO PARCIAL DE ESPUMA
EXPANSIVA - FORNECIMENTO E INSTALAÇÃO.</t>
    </r>
  </si>
  <si>
    <t>IMPERMEABILIZAÇÃO</t>
  </si>
  <si>
    <t>IMPERMEABILIZAÇÃO - APLICAÇÃO DE FRIOASFALTO - 02 DEMÃOS</t>
  </si>
  <si>
    <t>3.1</t>
  </si>
  <si>
    <t>3.2</t>
  </si>
  <si>
    <t>3.3</t>
  </si>
  <si>
    <t>6.1</t>
  </si>
  <si>
    <t>8.1</t>
  </si>
  <si>
    <t>8.2</t>
  </si>
  <si>
    <t>11.1.1</t>
  </si>
  <si>
    <t>11.1.2</t>
  </si>
  <si>
    <t>11.1.3</t>
  </si>
  <si>
    <t>11.1.4</t>
  </si>
  <si>
    <t>11.1.5</t>
  </si>
  <si>
    <t>11.1.7</t>
  </si>
  <si>
    <t>11.1.8</t>
  </si>
  <si>
    <t>11.1.9</t>
  </si>
  <si>
    <t>11.2.1</t>
  </si>
  <si>
    <t>11.2.3</t>
  </si>
  <si>
    <t>14.1.1</t>
  </si>
  <si>
    <t>14.1.2</t>
  </si>
  <si>
    <t>14.1.3</t>
  </si>
  <si>
    <t>14.1.4</t>
  </si>
  <si>
    <t>14.2.2</t>
  </si>
  <si>
    <t>14.3.1</t>
  </si>
  <si>
    <t>14.3.2</t>
  </si>
  <si>
    <t>14.3.3</t>
  </si>
  <si>
    <t>14.4.1</t>
  </si>
  <si>
    <t>14.4.2</t>
  </si>
  <si>
    <t>14.4.3</t>
  </si>
  <si>
    <t>14.4.4</t>
  </si>
  <si>
    <t>14.4.5</t>
  </si>
  <si>
    <t>14.4.6</t>
  </si>
  <si>
    <t>14.4.7</t>
  </si>
  <si>
    <t>PLACA DE INAUGURAÇÃO EM ALUMINIO 0,50 X 0,70 M.</t>
  </si>
  <si>
    <t>CALHA METALICA</t>
  </si>
  <si>
    <t>MONTAGEM E DESMONTAGEM DE FÔRMA DE PILARES RETANGULARES E ESTRUTURAS
SIMILARES COM ÁREA MÉDIA DAS SEÇÕES MAIOR QUE 0,25 M², PÉ-DIREITO SIMPLES, EM CHAPA DE MADEIRA COMPENSADA PLASTIFICADA.</t>
  </si>
  <si>
    <t>CONCRETAGEM DE PILARES, FCK = 25 MPA, COM USO DE GRUA EM EDIFICAÇÃO COM SEÇÃO
MÉDIA DE PILARES MENOR OU IGUAL A 0,25 M² - LANÇAMENTO, ADENSAMENTO E ACABAMENTO</t>
  </si>
  <si>
    <t>ARMAÇÃO DE ESTRUTURAS DE CONCRETO ARMADO, VIGAS, PILARES, LAJE E FUNDAÇÕES,
UTILIZANDO AÇO CA-50 DE 10,0 MM - FORNECIMENTO E MONTAGEM.</t>
  </si>
  <si>
    <t>REFERÊNCIAS DE VALORES: SINAPI SEM DESONERAÇÃO SETEMBRO DE 2022, ORSE E SEDOP SETEMBRO DE 2022</t>
  </si>
  <si>
    <t>ALVENARIA DE VEDAÇÃO DE BLOCOS CERÂMICOS FURADOS NA VERTICAL DE 9X19X39CM (ESPESSURA 9CM) DE PAREDES COM ÁREA LÍQUIDA MAIOR OU IGUAL A 6M² SEM VÃOS E ARGAMASSA DE ASSENTAMENTO COM PREPARO EM BETONEIRA.</t>
  </si>
  <si>
    <t>PORTAS</t>
  </si>
  <si>
    <t>KIT DE PORTA-PRONTA DE MADEIRA EM ACABAMENTO MELAMÍNICO BRANCO, FOLHA LEVE  OU MÉDIA, E BATENTE METÀLICO, 90X210 CM, FIXAÇÃO COM ARGAMASSA - FORNECIMENTO E INSTALAÇÃO - FORNECIMENTO E INSTALAÇÃO.</t>
  </si>
  <si>
    <t>CONTRAPISO EM ARGAMASSA TRAÇO 1:4 (CIMENTO E AREIA), PREPARO MECÂNICO COM BETONEIRA 400 L, APLICADO EM ÁREAS SECAS SOBRE LAJE, NÃO ADERIDO, ESPESSURA
6CM.</t>
  </si>
  <si>
    <t>REVESTIMENTO CERÂMICO PARA PISO COM PLACAS TIPO ESMALTADA EXTRA DE DIMENSÕES 35X35 CM APLICADAS EM AMBIENTES DE ÁREA ENTRE 5 M² E 10 M²</t>
  </si>
  <si>
    <t>JOELHO 90 GRAUS, PVC, SOLDÁVEL, DN 20MM, INSTALADO EM RAMAL DE DISTRIBUIÇÃO DE ÁGUA - FORNECIMENTO E INSTALAÇÃO.</t>
  </si>
  <si>
    <t>ADAPTADOR COM FLANGE E ANEL DE VEDAÇÃO, PVC, SOLDAVEL, DN 20 mm x 1/2, INSTALADO EM RESERVATORIO DE ÁGUA, FORNECIMENTO E INSTALAÇÃO</t>
  </si>
  <si>
    <t>ADAPTADOR COM FLANGE E ANEL DE VEDAÇÃO, PVC, SOLDAVEL, DN 25 mm x 3/4, INSTALADO EM RESERVATORIO DE ÁGUA, FORNECIMENTO E INSTALAÇÃO</t>
  </si>
  <si>
    <t>TOMADA UNIVERSAL 2P+T 10A/250V (2 MÓDULOS) COM SUPORTE E PLACA, FORNECIMENTO E INSTALAÇÃO.</t>
  </si>
  <si>
    <t>LUMINÁRIA DE EMERGÊNCIA, COM 30 LÂMPADAS LED DE 2 W, SEM REATOR - FORNECIMENTO E INSTALAÇÃO.</t>
  </si>
  <si>
    <t>ARANDELA EM ALUMÍNIO FUNDIDO, LINHA EDRA, DA DIMLUX OU SIMILAR.</t>
  </si>
  <si>
    <t>MASTRO TRIPLO EM TUBO DE FERRO GALVANIZADO, ALT (ÚTIL)= 6M, INCLUSIVE BASE DE CONCRETO CICLÓPICO</t>
  </si>
  <si>
    <t>UM</t>
  </si>
  <si>
    <t>TRAMA DE MADEIRA COMPOSTA POR RIPAS, CAIBROS E TERÇAS PARA TELHADOS DE ATÉ 2 ÁGUAS PARA TELHA DE ENCAIXE DE CERÂMICA OU DE CONCRETO, INCLUSO TRANSPORTE VERTICAL.</t>
  </si>
  <si>
    <t>00234</t>
  </si>
  <si>
    <t>TELHAMENTO COM TELHA ONDULADA DE FIBROCIMENTO E = 4 MM, COM RECOBRIMENTO LATERAL DE 1/4 DE ONDA PARA TELHADO COM INCLINAÇÃO MAIOR QUE 10°, C
OM ATÉ 2 ÁGUAS, INCLUSO IÇAMENTO.</t>
  </si>
  <si>
    <t>D00381</t>
  </si>
  <si>
    <t>MANTA TERMICA</t>
  </si>
  <si>
    <t>5.5</t>
  </si>
  <si>
    <t>REFORMA NO PRÉDIO DESTINADO PARA SECRETARIA DE MEIO AMBIENTE (SEMA)</t>
  </si>
  <si>
    <t>RUA HUGO CARLOS SABOI</t>
  </si>
  <si>
    <t>FERRO EM REGUAS DE PVC LISO, PARA AMBIENTES COMERCIAIS, INCLUSIVE ESTRUTURA DE FIXAÇÃO</t>
  </si>
  <si>
    <t>REMOÇÃO DE TRAMA DE MADEIRA PARA COBERTURA, DE FORMA MANUAL, SEM
REAPROVEITAMENTO</t>
  </si>
  <si>
    <t>QUADRO DE DISTRIBUIÇÃO DE ENERGIA EM CHAPA DE AÇO, COM BARRAMENTO PARA 40 DISJUNTORES</t>
  </si>
  <si>
    <t>LETREIRO EM ADESIVO VINILICO COM PLOTAGEM GRAFICA</t>
  </si>
  <si>
    <t>ESQUADRIA BASCULANTE EM VIDRO TEMPERADO DE 8 MM</t>
  </si>
  <si>
    <t>6.1.2</t>
  </si>
  <si>
    <t>DATA DA OBRA : 18/01/2023</t>
  </si>
  <si>
    <t>PLANEJAMENTO</t>
  </si>
  <si>
    <t>DESCRIÇÃO DOS SERVIÇOS</t>
  </si>
  <si>
    <t>VALOR (R$)</t>
  </si>
  <si>
    <t>% ITEM</t>
  </si>
  <si>
    <t>1° SEMANA</t>
  </si>
  <si>
    <t>2° SEMANA</t>
  </si>
  <si>
    <t>3° SEMANA</t>
  </si>
  <si>
    <t>4° SEMANA</t>
  </si>
  <si>
    <t>Valores totais</t>
  </si>
  <si>
    <t>Percentual mensal</t>
  </si>
  <si>
    <t>Valor acomulado</t>
  </si>
  <si>
    <t>Percentual acomulado</t>
  </si>
  <si>
    <t>CREA-PA: 1519607807</t>
  </si>
  <si>
    <t>CURVA ABC</t>
  </si>
  <si>
    <t>N° DO ITEM</t>
  </si>
  <si>
    <t>DESCRIÇÃO DO ITEM</t>
  </si>
  <si>
    <t>VALOR TOTAL</t>
  </si>
  <si>
    <t>% INDIVIDUAL</t>
  </si>
  <si>
    <t>% ACUMULADA</t>
  </si>
  <si>
    <t>CLASSE</t>
  </si>
  <si>
    <t>TOTAL:</t>
  </si>
  <si>
    <t>CORTE</t>
  </si>
  <si>
    <t>PROPORÇÃO DE CÓDIGOS</t>
  </si>
  <si>
    <t>PROPORÇÃO DE VALORES</t>
  </si>
  <si>
    <t>A</t>
  </si>
  <si>
    <t>B</t>
  </si>
  <si>
    <t>C</t>
  </si>
  <si>
    <t>GRÁFICO DA CURVA ABC</t>
  </si>
  <si>
    <t>PLANILHA PARA BDI (EDIFÍCIOS)</t>
  </si>
  <si>
    <t>Parcela</t>
  </si>
  <si>
    <t>%</t>
  </si>
  <si>
    <t>Siglas</t>
  </si>
  <si>
    <t>Situação</t>
  </si>
  <si>
    <t>Percentuais Mínimos e Máximos por Ítem</t>
  </si>
  <si>
    <t>Administração Central</t>
  </si>
  <si>
    <t>AC</t>
  </si>
  <si>
    <t>OK</t>
  </si>
  <si>
    <t>Seguro e Garantia</t>
  </si>
  <si>
    <t>S+G</t>
  </si>
  <si>
    <t>Riscos</t>
  </si>
  <si>
    <t>R</t>
  </si>
  <si>
    <t>Despesas financeiras</t>
  </si>
  <si>
    <t>DF</t>
  </si>
  <si>
    <t>Lucro</t>
  </si>
  <si>
    <t>L</t>
  </si>
  <si>
    <t>Impostos</t>
  </si>
  <si>
    <t>I</t>
  </si>
  <si>
    <t>LIMITE DENTRO DO ACORDÃO TCU 2.622/2013</t>
  </si>
  <si>
    <t>de 20,76% a 26,44%</t>
  </si>
  <si>
    <t>ISS</t>
  </si>
  <si>
    <t xml:space="preserve">PIS/PASEP </t>
  </si>
  <si>
    <t>COFINS</t>
  </si>
  <si>
    <t>CPRB</t>
  </si>
  <si>
    <t>TOTAL BDI %</t>
  </si>
  <si>
    <t xml:space="preserve">Engenheiro Civil </t>
  </si>
  <si>
    <t>DEPARTAMENTO DE OBRAS E ENGENHARIA</t>
  </si>
  <si>
    <t>1.3</t>
  </si>
  <si>
    <t>1.4</t>
  </si>
  <si>
    <t>2.3</t>
  </si>
  <si>
    <t>6.2</t>
  </si>
  <si>
    <t>6.2.1</t>
  </si>
  <si>
    <t>10.3</t>
  </si>
  <si>
    <t>11.2.2</t>
  </si>
  <si>
    <t>12.7</t>
  </si>
  <si>
    <t>12.12</t>
  </si>
  <si>
    <t>13.3</t>
  </si>
  <si>
    <t>13.4</t>
  </si>
  <si>
    <t>14.2.1</t>
  </si>
  <si>
    <t>15.1</t>
  </si>
  <si>
    <t>15.2</t>
  </si>
  <si>
    <t>15.3</t>
  </si>
  <si>
    <t>15.4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</si>
</sst>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0.0"/>
    <numFmt numFmtId="180" formatCode="&quot;R$&quot;\ #,##0.00"/>
    <numFmt numFmtId="181" formatCode="0.0%"/>
  </numFmts>
  <fonts count="52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sz val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b/>
      <sz val="14"/>
      <name val="Arial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2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1F1F1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12">
    <xf numFmtId="0" fontId="0" fillId="0" borderId="0"/>
    <xf numFmtId="0" fontId="15" fillId="0" borderId="0" applyNumberFormat="0" applyBorder="0" applyProtection="0"/>
    <xf numFmtId="0" fontId="15" fillId="0" borderId="0" applyNumberFormat="0" applyBorder="0" applyProtection="0"/>
    <xf numFmtId="165" fontId="15" fillId="0" borderId="0" applyBorder="0" applyProtection="0"/>
    <xf numFmtId="165" fontId="15" fillId="0" borderId="0" applyBorder="0" applyProtection="0"/>
    <xf numFmtId="0" fontId="16" fillId="0" borderId="0" applyNumberFormat="0" applyBorder="0" applyProtection="0"/>
    <xf numFmtId="0" fontId="15" fillId="0" borderId="0" applyNumberFormat="0" applyBorder="0" applyProtection="0"/>
    <xf numFmtId="166" fontId="16" fillId="0" borderId="0" applyBorder="0" applyProtection="0"/>
    <xf numFmtId="0" fontId="17" fillId="0" borderId="0" applyNumberFormat="0" applyBorder="0" applyProtection="0">
      <alignment horizontal="center"/>
    </xf>
    <xf numFmtId="0" fontId="17" fillId="0" borderId="0" applyNumberFormat="0" applyBorder="0" applyProtection="0">
      <alignment horizontal="center" textRotation="90"/>
    </xf>
    <xf numFmtId="0" fontId="12" fillId="0" borderId="0"/>
    <xf numFmtId="9" fontId="12" fillId="0" borderId="0" applyFont="0" applyFill="0" applyBorder="0" applyAlignment="0" applyProtection="0"/>
    <xf numFmtId="0" fontId="18" fillId="0" borderId="0" applyNumberFormat="0" applyBorder="0" applyProtection="0"/>
    <xf numFmtId="167" fontId="18" fillId="0" borderId="0" applyBorder="0" applyProtection="0"/>
    <xf numFmtId="164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5" fillId="0" borderId="0" applyBorder="0" applyProtection="0"/>
    <xf numFmtId="0" fontId="12" fillId="0" borderId="0"/>
    <xf numFmtId="0" fontId="12" fillId="0" borderId="0"/>
    <xf numFmtId="0" fontId="12" fillId="0" borderId="0"/>
    <xf numFmtId="0" fontId="19" fillId="0" borderId="0"/>
    <xf numFmtId="164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1" fillId="0" borderId="0"/>
    <xf numFmtId="0" fontId="10" fillId="0" borderId="0"/>
    <xf numFmtId="0" fontId="21" fillId="0" borderId="0"/>
    <xf numFmtId="164" fontId="14" fillId="0" borderId="0" applyFont="0" applyFill="0" applyBorder="0" applyAlignment="0" applyProtection="0"/>
    <xf numFmtId="0" fontId="19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6" fillId="0" borderId="0" applyNumberFormat="0" applyBorder="0" applyProtection="0"/>
    <xf numFmtId="0" fontId="22" fillId="0" borderId="0" applyNumberFormat="0" applyFill="0" applyBorder="0" applyAlignment="0" applyProtection="0">
      <alignment vertical="top"/>
      <protection locked="0"/>
    </xf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23" fillId="0" borderId="0"/>
    <xf numFmtId="0" fontId="20" fillId="0" borderId="0"/>
    <xf numFmtId="0" fontId="9" fillId="0" borderId="0"/>
    <xf numFmtId="9" fontId="1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8" fillId="0" borderId="0"/>
    <xf numFmtId="43" fontId="8" fillId="0" borderId="0" applyFont="0" applyFill="0" applyBorder="0" applyAlignment="0" applyProtection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164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6" fillId="0" borderId="0"/>
    <xf numFmtId="9" fontId="25" fillId="0" borderId="0" applyFont="0" applyFill="0" applyBorder="0" applyAlignment="0" applyProtection="0"/>
    <xf numFmtId="0" fontId="27" fillId="0" borderId="0"/>
    <xf numFmtId="168" fontId="12" fillId="0" borderId="0" applyFont="0" applyFill="0" applyBorder="0" applyAlignment="0" applyProtection="0"/>
    <xf numFmtId="169" fontId="28" fillId="0" borderId="0">
      <protection locked="0"/>
    </xf>
    <xf numFmtId="0" fontId="13" fillId="5" borderId="4" applyFill="0" applyBorder="0" applyAlignment="0" applyProtection="0">
      <alignment vertical="center"/>
      <protection locked="0"/>
    </xf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38" fontId="30" fillId="2" borderId="0" applyNumberFormat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31" fillId="0" borderId="0"/>
    <xf numFmtId="10" fontId="30" fillId="6" borderId="1" applyNumberFormat="0" applyBorder="0" applyAlignment="0" applyProtection="0"/>
    <xf numFmtId="0" fontId="12" fillId="0" borderId="0">
      <alignment horizontal="centerContinuous" vertical="justify"/>
    </xf>
    <xf numFmtId="0" fontId="32" fillId="0" borderId="0" applyAlignment="0">
      <alignment horizontal="center"/>
    </xf>
    <xf numFmtId="174" fontId="33" fillId="0" borderId="0"/>
    <xf numFmtId="0" fontId="34" fillId="0" borderId="0">
      <alignment horizontal="left" vertical="center" indent="12"/>
    </xf>
    <xf numFmtId="0" fontId="30" fillId="0" borderId="4" applyBorder="0">
      <alignment horizontal="left" vertical="center" wrapText="1" indent="2"/>
      <protection locked="0"/>
    </xf>
    <xf numFmtId="0" fontId="30" fillId="0" borderId="4" applyBorder="0">
      <alignment horizontal="left" vertical="center" wrapText="1" indent="3"/>
      <protection locked="0"/>
    </xf>
    <xf numFmtId="10" fontId="12" fillId="0" borderId="0" applyFont="0" applyFill="0" applyBorder="0" applyAlignment="0" applyProtection="0"/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38" fontId="24" fillId="0" borderId="0" applyFont="0" applyFill="0" applyBorder="0" applyAlignment="0" applyProtection="0"/>
    <xf numFmtId="177" fontId="35" fillId="0" borderId="0">
      <protection locked="0"/>
    </xf>
    <xf numFmtId="178" fontId="25" fillId="0" borderId="0" applyFont="0" applyFill="0" applyBorder="0" applyAlignment="0" applyProtection="0"/>
    <xf numFmtId="0" fontId="24" fillId="0" borderId="0"/>
    <xf numFmtId="0" fontId="36" fillId="0" borderId="0">
      <protection locked="0"/>
    </xf>
    <xf numFmtId="0" fontId="36" fillId="0" borderId="0">
      <protection locked="0"/>
    </xf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44" fillId="0" borderId="0"/>
    <xf numFmtId="0" fontId="12" fillId="0" borderId="0">
      <alignment horizontal="centerContinuous" vertical="justify"/>
    </xf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4" fillId="0" borderId="0"/>
    <xf numFmtId="9" fontId="1" fillId="0" borderId="0" applyFont="0" applyFill="0" applyBorder="0" applyAlignment="0" applyProtection="0"/>
  </cellStyleXfs>
  <cellXfs count="293">
    <xf numFmtId="0" fontId="0" fillId="0" borderId="0" xfId="0"/>
    <xf numFmtId="0" fontId="12" fillId="0" borderId="0" xfId="10" applyAlignment="1">
      <alignment vertical="center"/>
    </xf>
    <xf numFmtId="0" fontId="12" fillId="0" borderId="0" xfId="10" applyAlignment="1">
      <alignment horizontal="center" vertical="center"/>
    </xf>
    <xf numFmtId="0" fontId="12" fillId="0" borderId="0" xfId="10" applyAlignment="1">
      <alignment horizontal="center"/>
    </xf>
    <xf numFmtId="0" fontId="12" fillId="0" borderId="0" xfId="10" applyAlignment="1">
      <alignment horizontal="left" vertical="center"/>
    </xf>
    <xf numFmtId="0" fontId="12" fillId="0" borderId="1" xfId="10" applyBorder="1" applyAlignment="1">
      <alignment horizontal="center" vertical="center" wrapText="1"/>
    </xf>
    <xf numFmtId="4" fontId="12" fillId="0" borderId="0" xfId="10" applyNumberFormat="1" applyAlignment="1">
      <alignment vertical="center"/>
    </xf>
    <xf numFmtId="0" fontId="13" fillId="2" borderId="1" xfId="10" applyFont="1" applyFill="1" applyBorder="1" applyAlignment="1">
      <alignment vertical="center"/>
    </xf>
    <xf numFmtId="0" fontId="13" fillId="0" borderId="0" xfId="10" applyFont="1" applyAlignment="1">
      <alignment vertical="center"/>
    </xf>
    <xf numFmtId="0" fontId="13" fillId="2" borderId="1" xfId="10" applyFont="1" applyFill="1" applyBorder="1" applyAlignment="1">
      <alignment horizontal="center" vertical="center"/>
    </xf>
    <xf numFmtId="164" fontId="12" fillId="0" borderId="0" xfId="26" applyFont="1" applyFill="1" applyAlignment="1">
      <alignment vertical="center"/>
    </xf>
    <xf numFmtId="164" fontId="12" fillId="0" borderId="0" xfId="26" applyFont="1" applyFill="1" applyBorder="1" applyAlignment="1">
      <alignment vertical="center"/>
    </xf>
    <xf numFmtId="164" fontId="13" fillId="2" borderId="1" xfId="26" applyFont="1" applyFill="1" applyBorder="1" applyAlignment="1">
      <alignment vertical="center"/>
    </xf>
    <xf numFmtId="164" fontId="12" fillId="0" borderId="1" xfId="14" applyFont="1" applyFill="1" applyBorder="1" applyAlignment="1">
      <alignment horizontal="right" vertical="center"/>
    </xf>
    <xf numFmtId="0" fontId="12" fillId="0" borderId="0" xfId="10" applyAlignment="1">
      <alignment horizontal="right" vertical="center"/>
    </xf>
    <xf numFmtId="0" fontId="12" fillId="4" borderId="0" xfId="10" applyFill="1" applyAlignment="1">
      <alignment vertical="center"/>
    </xf>
    <xf numFmtId="164" fontId="12" fillId="0" borderId="0" xfId="14" applyFont="1" applyFill="1" applyAlignment="1">
      <alignment vertical="center"/>
    </xf>
    <xf numFmtId="164" fontId="12" fillId="0" borderId="0" xfId="14" applyFont="1" applyFill="1" applyBorder="1" applyAlignment="1">
      <alignment vertical="center"/>
    </xf>
    <xf numFmtId="0" fontId="13" fillId="0" borderId="3" xfId="10" applyFont="1" applyBorder="1" applyAlignment="1">
      <alignment vertical="center" wrapText="1"/>
    </xf>
    <xf numFmtId="0" fontId="13" fillId="0" borderId="5" xfId="10" applyFont="1" applyBorder="1" applyAlignment="1">
      <alignment horizontal="right" vertical="center" wrapText="1"/>
    </xf>
    <xf numFmtId="164" fontId="12" fillId="0" borderId="1" xfId="14" applyFont="1" applyFill="1" applyBorder="1" applyAlignment="1">
      <alignment vertical="center"/>
    </xf>
    <xf numFmtId="0" fontId="13" fillId="0" borderId="0" xfId="10" applyFont="1" applyAlignment="1">
      <alignment horizontal="left" vertical="center"/>
    </xf>
    <xf numFmtId="0" fontId="12" fillId="0" borderId="1" xfId="10" applyBorder="1" applyAlignment="1">
      <alignment horizontal="left" vertical="center" wrapText="1"/>
    </xf>
    <xf numFmtId="0" fontId="38" fillId="0" borderId="1" xfId="10" applyFont="1" applyBorder="1" applyAlignment="1">
      <alignment horizontal="center" vertical="center" wrapText="1"/>
    </xf>
    <xf numFmtId="0" fontId="13" fillId="3" borderId="1" xfId="10" applyFont="1" applyFill="1" applyBorder="1" applyAlignment="1">
      <alignment horizontal="center" vertical="center" wrapText="1"/>
    </xf>
    <xf numFmtId="0" fontId="13" fillId="3" borderId="1" xfId="10" applyFont="1" applyFill="1" applyBorder="1" applyAlignment="1">
      <alignment vertical="center" wrapText="1"/>
    </xf>
    <xf numFmtId="0" fontId="12" fillId="3" borderId="1" xfId="10" applyFill="1" applyBorder="1" applyAlignment="1">
      <alignment vertical="center" wrapText="1"/>
    </xf>
    <xf numFmtId="164" fontId="12" fillId="3" borderId="1" xfId="14" applyFont="1" applyFill="1" applyBorder="1" applyAlignment="1">
      <alignment horizontal="right" vertical="center"/>
    </xf>
    <xf numFmtId="0" fontId="40" fillId="0" borderId="0" xfId="10" applyFont="1" applyAlignment="1">
      <alignment vertical="center"/>
    </xf>
    <xf numFmtId="164" fontId="12" fillId="0" borderId="1" xfId="26" applyFont="1" applyFill="1" applyBorder="1" applyAlignment="1">
      <alignment vertical="center"/>
    </xf>
    <xf numFmtId="0" fontId="12" fillId="3" borderId="1" xfId="10" applyFill="1" applyBorder="1" applyAlignment="1">
      <alignment horizontal="center" vertical="center"/>
    </xf>
    <xf numFmtId="164" fontId="12" fillId="3" borderId="1" xfId="26" applyFont="1" applyFill="1" applyBorder="1" applyAlignment="1">
      <alignment vertical="center"/>
    </xf>
    <xf numFmtId="0" fontId="13" fillId="3" borderId="1" xfId="10" applyFont="1" applyFill="1" applyBorder="1" applyAlignment="1">
      <alignment horizontal="left" vertical="center"/>
    </xf>
    <xf numFmtId="0" fontId="13" fillId="2" borderId="1" xfId="10" applyFont="1" applyFill="1" applyBorder="1" applyAlignment="1">
      <alignment horizontal="center"/>
    </xf>
    <xf numFmtId="164" fontId="13" fillId="2" borderId="1" xfId="45" applyFont="1" applyFill="1" applyBorder="1" applyAlignment="1">
      <alignment horizontal="right" vertical="center"/>
    </xf>
    <xf numFmtId="0" fontId="12" fillId="0" borderId="13" xfId="10" applyBorder="1" applyAlignment="1">
      <alignment horizontal="center" vertical="center"/>
    </xf>
    <xf numFmtId="0" fontId="12" fillId="0" borderId="13" xfId="10" applyBorder="1" applyAlignment="1">
      <alignment horizontal="left" vertical="center"/>
    </xf>
    <xf numFmtId="0" fontId="13" fillId="0" borderId="14" xfId="10" applyFont="1" applyBorder="1" applyAlignment="1">
      <alignment horizontal="right" vertical="center" wrapText="1"/>
    </xf>
    <xf numFmtId="0" fontId="13" fillId="2" borderId="7" xfId="10" applyFont="1" applyFill="1" applyBorder="1" applyAlignment="1">
      <alignment horizontal="center" vertical="center"/>
    </xf>
    <xf numFmtId="0" fontId="13" fillId="2" borderId="7" xfId="10" applyFont="1" applyFill="1" applyBorder="1" applyAlignment="1">
      <alignment vertical="center"/>
    </xf>
    <xf numFmtId="164" fontId="13" fillId="2" borderId="7" xfId="26" applyFont="1" applyFill="1" applyBorder="1" applyAlignment="1">
      <alignment vertical="center"/>
    </xf>
    <xf numFmtId="0" fontId="13" fillId="0" borderId="13" xfId="1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164" fontId="13" fillId="0" borderId="11" xfId="45" applyFont="1" applyFill="1" applyBorder="1" applyAlignment="1">
      <alignment horizontal="right" vertical="center" wrapText="1"/>
    </xf>
    <xf numFmtId="49" fontId="38" fillId="3" borderId="2" xfId="10" applyNumberFormat="1" applyFont="1" applyFill="1" applyBorder="1" applyAlignment="1">
      <alignment horizontal="center" vertical="center" wrapText="1"/>
    </xf>
    <xf numFmtId="49" fontId="43" fillId="3" borderId="2" xfId="10" applyNumberFormat="1" applyFont="1" applyFill="1" applyBorder="1" applyAlignment="1">
      <alignment horizontal="center" vertical="center" wrapText="1"/>
    </xf>
    <xf numFmtId="164" fontId="12" fillId="3" borderId="1" xfId="14" applyFont="1" applyFill="1" applyBorder="1" applyAlignment="1">
      <alignment vertical="center"/>
    </xf>
    <xf numFmtId="0" fontId="12" fillId="0" borderId="1" xfId="179" applyBorder="1" applyAlignment="1">
      <alignment horizontal="center" vertical="center" wrapText="1"/>
    </xf>
    <xf numFmtId="0" fontId="12" fillId="4" borderId="0" xfId="10" applyFill="1" applyAlignment="1">
      <alignment horizontal="center" vertical="center"/>
    </xf>
    <xf numFmtId="164" fontId="12" fillId="4" borderId="0" xfId="14" applyFont="1" applyFill="1" applyAlignment="1">
      <alignment vertical="center"/>
    </xf>
    <xf numFmtId="0" fontId="13" fillId="4" borderId="0" xfId="10" applyFont="1" applyFill="1" applyAlignment="1">
      <alignment vertical="center"/>
    </xf>
    <xf numFmtId="0" fontId="13" fillId="4" borderId="18" xfId="10" applyFont="1" applyFill="1" applyBorder="1" applyAlignment="1">
      <alignment vertical="center"/>
    </xf>
    <xf numFmtId="0" fontId="13" fillId="4" borderId="0" xfId="10" applyFont="1" applyFill="1" applyAlignment="1">
      <alignment horizontal="center" vertical="center"/>
    </xf>
    <xf numFmtId="164" fontId="12" fillId="7" borderId="1" xfId="14" applyFont="1" applyFill="1" applyBorder="1" applyAlignment="1">
      <alignment vertical="center"/>
    </xf>
    <xf numFmtId="0" fontId="12" fillId="0" borderId="19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right" vertical="top" wrapText="1"/>
    </xf>
    <xf numFmtId="0" fontId="45" fillId="0" borderId="19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left" vertical="center" wrapText="1"/>
    </xf>
    <xf numFmtId="0" fontId="45" fillId="0" borderId="19" xfId="0" applyFont="1" applyBorder="1" applyAlignment="1">
      <alignment horizontal="left" vertical="center" wrapText="1"/>
    </xf>
    <xf numFmtId="1" fontId="45" fillId="0" borderId="19" xfId="0" applyNumberFormat="1" applyFont="1" applyBorder="1" applyAlignment="1">
      <alignment horizontal="center" vertical="center" shrinkToFit="1"/>
    </xf>
    <xf numFmtId="0" fontId="45" fillId="8" borderId="19" xfId="0" applyFont="1" applyFill="1" applyBorder="1" applyAlignment="1">
      <alignment horizontal="center" vertical="center" wrapText="1"/>
    </xf>
    <xf numFmtId="0" fontId="12" fillId="8" borderId="19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right" vertical="top" wrapText="1" indent="1"/>
    </xf>
    <xf numFmtId="0" fontId="12" fillId="0" borderId="19" xfId="0" applyFont="1" applyBorder="1" applyAlignment="1">
      <alignment horizontal="right" vertical="center" wrapText="1" indent="1"/>
    </xf>
    <xf numFmtId="0" fontId="13" fillId="8" borderId="19" xfId="0" applyFont="1" applyFill="1" applyBorder="1" applyAlignment="1">
      <alignment horizontal="center" vertical="center" wrapText="1"/>
    </xf>
    <xf numFmtId="1" fontId="0" fillId="0" borderId="19" xfId="0" applyNumberFormat="1" applyBorder="1" applyAlignment="1">
      <alignment horizontal="center" vertical="center" shrinkToFit="1"/>
    </xf>
    <xf numFmtId="0" fontId="47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47" fillId="0" borderId="19" xfId="0" applyFont="1" applyBorder="1" applyAlignment="1">
      <alignment horizontal="left" vertical="center" wrapText="1"/>
    </xf>
    <xf numFmtId="0" fontId="0" fillId="8" borderId="19" xfId="0" applyFill="1" applyBorder="1" applyAlignment="1">
      <alignment horizontal="center" vertical="center" wrapText="1"/>
    </xf>
    <xf numFmtId="0" fontId="43" fillId="8" borderId="19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right" vertical="center" wrapText="1"/>
    </xf>
    <xf numFmtId="0" fontId="0" fillId="0" borderId="22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47" fillId="0" borderId="20" xfId="0" applyFont="1" applyBorder="1" applyAlignment="1">
      <alignment vertical="center" wrapText="1"/>
    </xf>
    <xf numFmtId="0" fontId="47" fillId="0" borderId="23" xfId="0" applyFont="1" applyBorder="1" applyAlignment="1">
      <alignment vertical="center" wrapText="1"/>
    </xf>
    <xf numFmtId="0" fontId="45" fillId="8" borderId="19" xfId="0" applyFont="1" applyFill="1" applyBorder="1" applyAlignment="1">
      <alignment horizontal="left" wrapText="1"/>
    </xf>
    <xf numFmtId="0" fontId="43" fillId="8" borderId="20" xfId="0" applyFont="1" applyFill="1" applyBorder="1" applyAlignment="1">
      <alignment vertical="center" wrapText="1"/>
    </xf>
    <xf numFmtId="0" fontId="43" fillId="8" borderId="22" xfId="0" applyFont="1" applyFill="1" applyBorder="1" applyAlignment="1">
      <alignment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45" fillId="9" borderId="19" xfId="0" applyFont="1" applyFill="1" applyBorder="1" applyAlignment="1">
      <alignment horizontal="left" wrapText="1"/>
    </xf>
    <xf numFmtId="0" fontId="13" fillId="9" borderId="19" xfId="0" applyFont="1" applyFill="1" applyBorder="1" applyAlignment="1">
      <alignment horizontal="left" vertical="top" wrapText="1"/>
    </xf>
    <xf numFmtId="2" fontId="12" fillId="0" borderId="19" xfId="0" applyNumberFormat="1" applyFont="1" applyBorder="1" applyAlignment="1">
      <alignment horizontal="center" vertical="center" wrapText="1"/>
    </xf>
    <xf numFmtId="2" fontId="38" fillId="3" borderId="2" xfId="10" applyNumberFormat="1" applyFont="1" applyFill="1" applyBorder="1" applyAlignment="1">
      <alignment horizontal="center" vertical="center" wrapText="1"/>
    </xf>
    <xf numFmtId="2" fontId="12" fillId="2" borderId="1" xfId="26" applyNumberFormat="1" applyFont="1" applyFill="1" applyBorder="1" applyAlignment="1">
      <alignment vertical="center"/>
    </xf>
    <xf numFmtId="2" fontId="13" fillId="0" borderId="3" xfId="10" applyNumberFormat="1" applyFont="1" applyBorder="1" applyAlignment="1">
      <alignment vertical="center" wrapText="1"/>
    </xf>
    <xf numFmtId="2" fontId="13" fillId="2" borderId="1" xfId="26" applyNumberFormat="1" applyFont="1" applyFill="1" applyBorder="1" applyAlignment="1">
      <alignment vertical="center"/>
    </xf>
    <xf numFmtId="2" fontId="45" fillId="8" borderId="19" xfId="0" applyNumberFormat="1" applyFont="1" applyFill="1" applyBorder="1" applyAlignment="1">
      <alignment horizontal="center" vertical="center" wrapText="1"/>
    </xf>
    <xf numFmtId="2" fontId="13" fillId="4" borderId="0" xfId="26" applyNumberFormat="1" applyFont="1" applyFill="1" applyBorder="1" applyAlignment="1">
      <alignment vertical="center"/>
    </xf>
    <xf numFmtId="2" fontId="12" fillId="0" borderId="1" xfId="14" applyNumberFormat="1" applyFont="1" applyFill="1" applyBorder="1" applyAlignment="1">
      <alignment horizontal="center" vertical="center"/>
    </xf>
    <xf numFmtId="2" fontId="45" fillId="9" borderId="19" xfId="0" applyNumberFormat="1" applyFont="1" applyFill="1" applyBorder="1" applyAlignment="1">
      <alignment horizontal="left" wrapText="1"/>
    </xf>
    <xf numFmtId="2" fontId="45" fillId="8" borderId="19" xfId="0" applyNumberFormat="1" applyFont="1" applyFill="1" applyBorder="1" applyAlignment="1">
      <alignment horizontal="left" wrapText="1"/>
    </xf>
    <xf numFmtId="2" fontId="12" fillId="0" borderId="19" xfId="0" applyNumberFormat="1" applyFont="1" applyBorder="1" applyAlignment="1">
      <alignment horizontal="center" vertical="top" wrapText="1"/>
    </xf>
    <xf numFmtId="2" fontId="13" fillId="3" borderId="1" xfId="26" applyNumberFormat="1" applyFont="1" applyFill="1" applyBorder="1" applyAlignment="1">
      <alignment vertical="center"/>
    </xf>
    <xf numFmtId="2" fontId="13" fillId="0" borderId="13" xfId="10" applyNumberFormat="1" applyFont="1" applyBorder="1" applyAlignment="1">
      <alignment vertical="center" wrapText="1"/>
    </xf>
    <xf numFmtId="2" fontId="13" fillId="2" borderId="7" xfId="26" applyNumberFormat="1" applyFont="1" applyFill="1" applyBorder="1" applyAlignment="1">
      <alignment vertical="center"/>
    </xf>
    <xf numFmtId="2" fontId="0" fillId="8" borderId="19" xfId="0" applyNumberFormat="1" applyFill="1" applyBorder="1" applyAlignment="1">
      <alignment horizontal="center" vertical="center" wrapText="1"/>
    </xf>
    <xf numFmtId="2" fontId="47" fillId="0" borderId="19" xfId="0" applyNumberFormat="1" applyFont="1" applyBorder="1" applyAlignment="1">
      <alignment horizontal="center" vertical="center" wrapText="1"/>
    </xf>
    <xf numFmtId="2" fontId="12" fillId="3" borderId="1" xfId="26" applyNumberFormat="1" applyFont="1" applyFill="1" applyBorder="1" applyAlignment="1">
      <alignment horizontal="center" vertical="center"/>
    </xf>
    <xf numFmtId="2" fontId="12" fillId="0" borderId="13" xfId="26" applyNumberFormat="1" applyFont="1" applyFill="1" applyBorder="1" applyAlignment="1">
      <alignment horizontal="center" vertical="center"/>
    </xf>
    <xf numFmtId="2" fontId="12" fillId="3" borderId="1" xfId="14" applyNumberFormat="1" applyFont="1" applyFill="1" applyBorder="1" applyAlignment="1">
      <alignment horizontal="right" vertical="center"/>
    </xf>
    <xf numFmtId="2" fontId="13" fillId="2" borderId="1" xfId="28" applyNumberFormat="1" applyFont="1" applyFill="1" applyBorder="1" applyAlignment="1">
      <alignment vertical="center"/>
    </xf>
    <xf numFmtId="2" fontId="12" fillId="0" borderId="0" xfId="26" applyNumberFormat="1" applyFont="1" applyFill="1" applyBorder="1" applyAlignment="1">
      <alignment horizontal="center" vertical="center"/>
    </xf>
    <xf numFmtId="2" fontId="12" fillId="0" borderId="0" xfId="26" applyNumberFormat="1" applyFont="1" applyFill="1" applyAlignment="1">
      <alignment horizontal="center" vertical="center"/>
    </xf>
    <xf numFmtId="2" fontId="12" fillId="0" borderId="0" xfId="10" applyNumberFormat="1" applyAlignment="1">
      <alignment vertical="center"/>
    </xf>
    <xf numFmtId="164" fontId="12" fillId="0" borderId="1" xfId="14" applyFont="1" applyFill="1" applyBorder="1" applyAlignment="1">
      <alignment vertical="center" wrapText="1"/>
    </xf>
    <xf numFmtId="0" fontId="42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13" fillId="8" borderId="19" xfId="0" applyFont="1" applyFill="1" applyBorder="1" applyAlignment="1">
      <alignment horizontal="left" vertical="center" wrapText="1"/>
    </xf>
    <xf numFmtId="0" fontId="45" fillId="8" borderId="19" xfId="0" applyFont="1" applyFill="1" applyBorder="1" applyAlignment="1">
      <alignment horizontal="left" vertical="center" wrapText="1"/>
    </xf>
    <xf numFmtId="2" fontId="12" fillId="0" borderId="19" xfId="0" applyNumberFormat="1" applyFont="1" applyBorder="1" applyAlignment="1">
      <alignment horizontal="right" vertical="center" wrapText="1"/>
    </xf>
    <xf numFmtId="0" fontId="45" fillId="8" borderId="19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179" applyBorder="1" applyAlignment="1">
      <alignment horizontal="left" vertical="center" wrapText="1"/>
    </xf>
    <xf numFmtId="0" fontId="12" fillId="0" borderId="1" xfId="10" applyBorder="1" applyAlignment="1">
      <alignment horizontal="center" vertical="center"/>
    </xf>
    <xf numFmtId="164" fontId="12" fillId="0" borderId="1" xfId="45" quotePrefix="1" applyFont="1" applyFill="1" applyBorder="1" applyAlignment="1">
      <alignment horizontal="center" vertical="center"/>
    </xf>
    <xf numFmtId="164" fontId="12" fillId="0" borderId="1" xfId="26" applyFont="1" applyFill="1" applyBorder="1" applyAlignment="1">
      <alignment horizontal="center" vertical="center"/>
    </xf>
    <xf numFmtId="49" fontId="12" fillId="0" borderId="1" xfId="10" applyNumberFormat="1" applyBorder="1" applyAlignment="1">
      <alignment horizontal="center" vertical="center"/>
    </xf>
    <xf numFmtId="1" fontId="45" fillId="0" borderId="1" xfId="0" applyNumberFormat="1" applyFont="1" applyBorder="1" applyAlignment="1">
      <alignment horizontal="center" vertical="center" shrinkToFit="1"/>
    </xf>
    <xf numFmtId="0" fontId="12" fillId="0" borderId="25" xfId="10" applyBorder="1" applyAlignment="1">
      <alignment horizontal="center" vertical="center"/>
    </xf>
    <xf numFmtId="0" fontId="12" fillId="0" borderId="25" xfId="10" applyBorder="1" applyAlignment="1">
      <alignment horizontal="left" vertical="center" wrapText="1"/>
    </xf>
    <xf numFmtId="0" fontId="12" fillId="10" borderId="0" xfId="10" applyFill="1" applyAlignment="1">
      <alignment vertical="center"/>
    </xf>
    <xf numFmtId="164" fontId="12" fillId="0" borderId="1" xfId="45" quotePrefix="1" applyFont="1" applyFill="1" applyBorder="1" applyAlignment="1">
      <alignment horizontal="right" vertical="center"/>
    </xf>
    <xf numFmtId="0" fontId="12" fillId="0" borderId="1" xfId="10" applyBorder="1" applyAlignment="1">
      <alignment horizontal="left" vertical="center"/>
    </xf>
    <xf numFmtId="0" fontId="12" fillId="0" borderId="1" xfId="10" applyBorder="1" applyAlignment="1">
      <alignment vertical="center" wrapText="1"/>
    </xf>
    <xf numFmtId="164" fontId="12" fillId="0" borderId="3" xfId="14" applyFont="1" applyFill="1" applyBorder="1" applyAlignment="1">
      <alignment horizontal="right" vertical="center"/>
    </xf>
    <xf numFmtId="0" fontId="12" fillId="0" borderId="0" xfId="10"/>
    <xf numFmtId="0" fontId="38" fillId="0" borderId="1" xfId="10" applyFont="1" applyBorder="1" applyAlignment="1">
      <alignment horizontal="left" vertical="center"/>
    </xf>
    <xf numFmtId="10" fontId="38" fillId="0" borderId="1" xfId="10" applyNumberFormat="1" applyFont="1" applyBorder="1" applyAlignment="1">
      <alignment horizontal="center" vertical="center" wrapText="1"/>
    </xf>
    <xf numFmtId="0" fontId="12" fillId="11" borderId="6" xfId="10" applyFill="1" applyBorder="1" applyAlignment="1">
      <alignment horizontal="center"/>
    </xf>
    <xf numFmtId="0" fontId="12" fillId="11" borderId="7" xfId="10" applyFill="1" applyBorder="1" applyAlignment="1">
      <alignment horizontal="center"/>
    </xf>
    <xf numFmtId="0" fontId="12" fillId="11" borderId="7" xfId="10" applyFill="1" applyBorder="1" applyAlignment="1">
      <alignment horizontal="right"/>
    </xf>
    <xf numFmtId="0" fontId="12" fillId="0" borderId="9" xfId="10" applyBorder="1"/>
    <xf numFmtId="0" fontId="12" fillId="0" borderId="1" xfId="10" applyBorder="1" applyAlignment="1">
      <alignment horizontal="center"/>
    </xf>
    <xf numFmtId="0" fontId="12" fillId="0" borderId="1" xfId="10" applyBorder="1" applyAlignment="1">
      <alignment horizontal="right"/>
    </xf>
    <xf numFmtId="0" fontId="12" fillId="0" borderId="1" xfId="10" applyBorder="1"/>
    <xf numFmtId="0" fontId="12" fillId="0" borderId="9" xfId="10" applyBorder="1" applyAlignment="1">
      <alignment horizontal="center"/>
    </xf>
    <xf numFmtId="49" fontId="12" fillId="0" borderId="1" xfId="10" applyNumberFormat="1" applyBorder="1"/>
    <xf numFmtId="164" fontId="0" fillId="0" borderId="1" xfId="45" applyFont="1" applyBorder="1"/>
    <xf numFmtId="10" fontId="0" fillId="0" borderId="1" xfId="11" applyNumberFormat="1" applyFont="1" applyBorder="1"/>
    <xf numFmtId="9" fontId="12" fillId="11" borderId="1" xfId="11" applyFont="1" applyFill="1" applyBorder="1"/>
    <xf numFmtId="9" fontId="12" fillId="0" borderId="1" xfId="11" applyFont="1" applyFill="1" applyBorder="1"/>
    <xf numFmtId="164" fontId="12" fillId="0" borderId="1" xfId="10" applyNumberFormat="1" applyBorder="1"/>
    <xf numFmtId="9" fontId="0" fillId="0" borderId="1" xfId="11" applyFont="1" applyFill="1" applyBorder="1"/>
    <xf numFmtId="44" fontId="13" fillId="11" borderId="30" xfId="305" applyFont="1" applyFill="1" applyBorder="1"/>
    <xf numFmtId="0" fontId="12" fillId="11" borderId="30" xfId="10" applyFill="1" applyBorder="1"/>
    <xf numFmtId="180" fontId="12" fillId="11" borderId="30" xfId="305" applyNumberFormat="1" applyFont="1" applyFill="1" applyBorder="1"/>
    <xf numFmtId="180" fontId="12" fillId="11" borderId="30" xfId="10" applyNumberFormat="1" applyFill="1" applyBorder="1"/>
    <xf numFmtId="10" fontId="0" fillId="0" borderId="30" xfId="11" applyNumberFormat="1" applyFont="1" applyBorder="1"/>
    <xf numFmtId="180" fontId="45" fillId="0" borderId="30" xfId="11" applyNumberFormat="1" applyFont="1" applyBorder="1"/>
    <xf numFmtId="180" fontId="0" fillId="0" borderId="30" xfId="11" applyNumberFormat="1" applyFont="1" applyBorder="1"/>
    <xf numFmtId="10" fontId="12" fillId="3" borderId="30" xfId="10" applyNumberFormat="1" applyFill="1" applyBorder="1"/>
    <xf numFmtId="164" fontId="0" fillId="0" borderId="0" xfId="45" applyFont="1"/>
    <xf numFmtId="180" fontId="12" fillId="0" borderId="0" xfId="10" applyNumberFormat="1"/>
    <xf numFmtId="0" fontId="44" fillId="0" borderId="0" xfId="181" applyAlignment="1">
      <alignment horizontal="center"/>
    </xf>
    <xf numFmtId="0" fontId="44" fillId="0" borderId="0" xfId="181"/>
    <xf numFmtId="0" fontId="13" fillId="0" borderId="0" xfId="181" applyFont="1"/>
    <xf numFmtId="0" fontId="13" fillId="0" borderId="0" xfId="181" applyFont="1" applyAlignment="1">
      <alignment horizontal="right" vertical="center"/>
    </xf>
    <xf numFmtId="10" fontId="13" fillId="0" borderId="0" xfId="181" applyNumberFormat="1" applyFont="1" applyAlignment="1">
      <alignment horizontal="center" vertical="center"/>
    </xf>
    <xf numFmtId="0" fontId="13" fillId="12" borderId="1" xfId="181" applyFont="1" applyFill="1" applyBorder="1" applyAlignment="1">
      <alignment horizontal="center" vertical="center"/>
    </xf>
    <xf numFmtId="0" fontId="44" fillId="0" borderId="1" xfId="181" applyBorder="1" applyAlignment="1">
      <alignment horizontal="center" vertical="center"/>
    </xf>
    <xf numFmtId="0" fontId="44" fillId="0" borderId="1" xfId="181" applyBorder="1" applyAlignment="1">
      <alignment horizontal="center" vertical="center" wrapText="1"/>
    </xf>
    <xf numFmtId="180" fontId="0" fillId="0" borderId="1" xfId="45" applyNumberFormat="1" applyFont="1" applyBorder="1" applyAlignment="1">
      <alignment horizontal="center" vertical="center"/>
    </xf>
    <xf numFmtId="10" fontId="0" fillId="0" borderId="1" xfId="11" applyNumberFormat="1" applyFont="1" applyBorder="1" applyAlignment="1">
      <alignment horizontal="center" vertical="center"/>
    </xf>
    <xf numFmtId="10" fontId="44" fillId="0" borderId="1" xfId="181" applyNumberFormat="1" applyBorder="1" applyAlignment="1">
      <alignment horizontal="center" vertical="center"/>
    </xf>
    <xf numFmtId="0" fontId="13" fillId="12" borderId="1" xfId="181" applyFont="1" applyFill="1" applyBorder="1" applyAlignment="1">
      <alignment horizontal="center" vertical="center" wrapText="1"/>
    </xf>
    <xf numFmtId="0" fontId="13" fillId="0" borderId="1" xfId="181" applyFont="1" applyBorder="1" applyAlignment="1">
      <alignment horizontal="center" vertical="center"/>
    </xf>
    <xf numFmtId="9" fontId="13" fillId="0" borderId="1" xfId="181" applyNumberFormat="1" applyFont="1" applyBorder="1" applyAlignment="1">
      <alignment horizontal="center" vertical="center"/>
    </xf>
    <xf numFmtId="181" fontId="13" fillId="0" borderId="1" xfId="11" applyNumberFormat="1" applyFont="1" applyBorder="1" applyAlignment="1">
      <alignment horizontal="center" vertical="center"/>
    </xf>
    <xf numFmtId="10" fontId="13" fillId="0" borderId="1" xfId="11" applyNumberFormat="1" applyFont="1" applyBorder="1" applyAlignment="1">
      <alignment horizontal="center" vertical="center"/>
    </xf>
    <xf numFmtId="0" fontId="48" fillId="0" borderId="0" xfId="309" applyFont="1"/>
    <xf numFmtId="0" fontId="48" fillId="0" borderId="0" xfId="309" applyFont="1" applyAlignment="1">
      <alignment horizontal="center" vertical="center"/>
    </xf>
    <xf numFmtId="0" fontId="38" fillId="0" borderId="6" xfId="10" applyFont="1" applyBorder="1" applyAlignment="1">
      <alignment horizontal="left" vertical="center"/>
    </xf>
    <xf numFmtId="0" fontId="38" fillId="0" borderId="7" xfId="10" applyFont="1" applyBorder="1" applyAlignment="1">
      <alignment horizontal="center" vertical="center" wrapText="1"/>
    </xf>
    <xf numFmtId="10" fontId="38" fillId="0" borderId="8" xfId="10" applyNumberFormat="1" applyFont="1" applyBorder="1" applyAlignment="1">
      <alignment horizontal="center" vertical="center" wrapText="1"/>
    </xf>
    <xf numFmtId="0" fontId="38" fillId="0" borderId="9" xfId="10" applyFont="1" applyBorder="1" applyAlignment="1">
      <alignment horizontal="left" vertical="center"/>
    </xf>
    <xf numFmtId="10" fontId="38" fillId="0" borderId="10" xfId="10" applyNumberFormat="1" applyFont="1" applyBorder="1" applyAlignment="1">
      <alignment horizontal="center" vertical="center" wrapText="1"/>
    </xf>
    <xf numFmtId="0" fontId="49" fillId="0" borderId="0" xfId="309" applyFont="1"/>
    <xf numFmtId="0" fontId="34" fillId="14" borderId="6" xfId="309" applyFont="1" applyFill="1" applyBorder="1" applyAlignment="1">
      <alignment horizontal="center" vertical="center" wrapText="1" readingOrder="1"/>
    </xf>
    <xf numFmtId="0" fontId="34" fillId="14" borderId="7" xfId="309" applyFont="1" applyFill="1" applyBorder="1" applyAlignment="1">
      <alignment horizontal="center" vertical="center" wrapText="1" readingOrder="1"/>
    </xf>
    <xf numFmtId="0" fontId="50" fillId="0" borderId="9" xfId="309" applyFont="1" applyBorder="1" applyAlignment="1">
      <alignment horizontal="center" vertical="center" wrapText="1" readingOrder="1"/>
    </xf>
    <xf numFmtId="10" fontId="50" fillId="0" borderId="1" xfId="311" applyNumberFormat="1" applyFont="1" applyFill="1" applyBorder="1" applyAlignment="1">
      <alignment horizontal="center" vertical="center" wrapText="1" readingOrder="1"/>
    </xf>
    <xf numFmtId="0" fontId="50" fillId="0" borderId="1" xfId="309" applyFont="1" applyBorder="1" applyAlignment="1">
      <alignment horizontal="center" vertical="center" wrapText="1" readingOrder="1"/>
    </xf>
    <xf numFmtId="9" fontId="50" fillId="0" borderId="1" xfId="309" applyNumberFormat="1" applyFont="1" applyBorder="1" applyAlignment="1">
      <alignment horizontal="center" vertical="center" wrapText="1" readingOrder="1"/>
    </xf>
    <xf numFmtId="10" fontId="50" fillId="0" borderId="10" xfId="309" applyNumberFormat="1" applyFont="1" applyBorder="1" applyAlignment="1">
      <alignment horizontal="center" vertical="center" wrapText="1" readingOrder="1"/>
    </xf>
    <xf numFmtId="10" fontId="50" fillId="0" borderId="1" xfId="309" applyNumberFormat="1" applyFont="1" applyBorder="1" applyAlignment="1">
      <alignment horizontal="center" vertical="center" wrapText="1" readingOrder="1"/>
    </xf>
    <xf numFmtId="9" fontId="50" fillId="0" borderId="10" xfId="309" applyNumberFormat="1" applyFont="1" applyBorder="1" applyAlignment="1">
      <alignment horizontal="center" vertical="center" wrapText="1" readingOrder="1"/>
    </xf>
    <xf numFmtId="0" fontId="50" fillId="0" borderId="35" xfId="309" applyFont="1" applyBorder="1" applyAlignment="1">
      <alignment horizontal="center" vertical="center" wrapText="1" readingOrder="1"/>
    </xf>
    <xf numFmtId="10" fontId="50" fillId="0" borderId="36" xfId="311" applyNumberFormat="1" applyFont="1" applyFill="1" applyBorder="1" applyAlignment="1">
      <alignment horizontal="center" vertical="center" wrapText="1" readingOrder="1"/>
    </xf>
    <xf numFmtId="0" fontId="50" fillId="0" borderId="36" xfId="309" applyFont="1" applyBorder="1" applyAlignment="1">
      <alignment horizontal="center" vertical="center" wrapText="1" readingOrder="1"/>
    </xf>
    <xf numFmtId="0" fontId="50" fillId="0" borderId="36" xfId="309" applyFont="1" applyBorder="1" applyAlignment="1">
      <alignment horizontal="center" vertical="center" wrapText="1"/>
    </xf>
    <xf numFmtId="0" fontId="50" fillId="0" borderId="37" xfId="309" applyFont="1" applyBorder="1" applyAlignment="1">
      <alignment horizontal="center" vertical="center" wrapText="1"/>
    </xf>
    <xf numFmtId="0" fontId="49" fillId="0" borderId="0" xfId="309" applyFont="1" applyAlignment="1">
      <alignment horizontal="center" vertical="center"/>
    </xf>
    <xf numFmtId="0" fontId="34" fillId="0" borderId="6" xfId="309" applyFont="1" applyBorder="1" applyAlignment="1">
      <alignment horizontal="center" vertical="center"/>
    </xf>
    <xf numFmtId="10" fontId="34" fillId="0" borderId="38" xfId="311" applyNumberFormat="1" applyFont="1" applyFill="1" applyBorder="1" applyAlignment="1">
      <alignment horizontal="center" vertical="center"/>
    </xf>
    <xf numFmtId="0" fontId="34" fillId="0" borderId="9" xfId="309" applyFont="1" applyBorder="1" applyAlignment="1">
      <alignment horizontal="center" vertical="center"/>
    </xf>
    <xf numFmtId="10" fontId="34" fillId="0" borderId="10" xfId="311" applyNumberFormat="1" applyFont="1" applyFill="1" applyBorder="1" applyAlignment="1">
      <alignment horizontal="center" vertical="center"/>
    </xf>
    <xf numFmtId="0" fontId="34" fillId="0" borderId="35" xfId="309" applyFont="1" applyBorder="1" applyAlignment="1">
      <alignment horizontal="center" vertical="center"/>
    </xf>
    <xf numFmtId="10" fontId="34" fillId="0" borderId="12" xfId="311" applyNumberFormat="1" applyFont="1" applyFill="1" applyBorder="1" applyAlignment="1">
      <alignment horizontal="center" vertical="center"/>
    </xf>
    <xf numFmtId="0" fontId="34" fillId="14" borderId="28" xfId="309" applyFont="1" applyFill="1" applyBorder="1" applyAlignment="1">
      <alignment horizontal="center" vertical="center" wrapText="1" readingOrder="1"/>
    </xf>
    <xf numFmtId="9" fontId="34" fillId="15" borderId="29" xfId="311" applyFont="1" applyFill="1" applyBorder="1" applyAlignment="1">
      <alignment horizontal="center" vertical="center"/>
    </xf>
    <xf numFmtId="0" fontId="51" fillId="0" borderId="0" xfId="309" applyFont="1" applyAlignment="1">
      <alignment horizontal="center" vertical="center"/>
    </xf>
    <xf numFmtId="49" fontId="44" fillId="0" borderId="1" xfId="181" applyNumberFormat="1" applyBorder="1" applyAlignment="1">
      <alignment horizontal="center" vertical="center" wrapText="1"/>
    </xf>
    <xf numFmtId="14" fontId="44" fillId="0" borderId="0" xfId="181" applyNumberFormat="1"/>
    <xf numFmtId="1" fontId="45" fillId="0" borderId="21" xfId="0" applyNumberFormat="1" applyFont="1" applyBorder="1" applyAlignment="1">
      <alignment horizontal="center" vertical="center" shrinkToFit="1"/>
    </xf>
    <xf numFmtId="0" fontId="12" fillId="0" borderId="5" xfId="1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38" fillId="3" borderId="39" xfId="10" applyNumberFormat="1" applyFont="1" applyFill="1" applyBorder="1" applyAlignment="1">
      <alignment horizontal="center" vertical="center" wrapText="1"/>
    </xf>
    <xf numFmtId="49" fontId="43" fillId="3" borderId="40" xfId="10" applyNumberFormat="1" applyFont="1" applyFill="1" applyBorder="1" applyAlignment="1">
      <alignment horizontal="center" vertical="center" wrapText="1"/>
    </xf>
    <xf numFmtId="0" fontId="13" fillId="3" borderId="1" xfId="10" applyFont="1" applyFill="1" applyBorder="1" applyAlignment="1">
      <alignment horizontal="center" vertical="center"/>
    </xf>
    <xf numFmtId="164" fontId="13" fillId="2" borderId="1" xfId="14" applyFont="1" applyFill="1" applyBorder="1" applyAlignment="1">
      <alignment vertical="center"/>
    </xf>
    <xf numFmtId="0" fontId="13" fillId="0" borderId="4" xfId="10" applyFont="1" applyBorder="1" applyAlignment="1">
      <alignment vertical="center" wrapText="1"/>
    </xf>
    <xf numFmtId="164" fontId="13" fillId="0" borderId="1" xfId="14" applyFont="1" applyFill="1" applyBorder="1" applyAlignment="1">
      <alignment vertical="center" wrapText="1"/>
    </xf>
    <xf numFmtId="0" fontId="12" fillId="0" borderId="0" xfId="0" applyFont="1" applyAlignment="1">
      <alignment horizontal="right" vertical="center"/>
    </xf>
    <xf numFmtId="179" fontId="45" fillId="8" borderId="41" xfId="0" applyNumberFormat="1" applyFont="1" applyFill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wrapText="1"/>
    </xf>
    <xf numFmtId="0" fontId="12" fillId="4" borderId="27" xfId="10" applyFill="1" applyBorder="1" applyAlignment="1">
      <alignment horizontal="center" vertical="center"/>
    </xf>
    <xf numFmtId="1" fontId="46" fillId="9" borderId="41" xfId="0" applyNumberFormat="1" applyFont="1" applyFill="1" applyBorder="1" applyAlignment="1">
      <alignment horizontal="center" vertical="center" shrinkToFit="1"/>
    </xf>
    <xf numFmtId="0" fontId="45" fillId="9" borderId="42" xfId="0" applyFont="1" applyFill="1" applyBorder="1" applyAlignment="1">
      <alignment horizontal="left" wrapText="1"/>
    </xf>
    <xf numFmtId="179" fontId="46" fillId="8" borderId="43" xfId="0" applyNumberFormat="1" applyFont="1" applyFill="1" applyBorder="1" applyAlignment="1">
      <alignment horizontal="center" vertical="center" shrinkToFit="1"/>
    </xf>
    <xf numFmtId="0" fontId="45" fillId="8" borderId="42" xfId="0" applyFont="1" applyFill="1" applyBorder="1" applyAlignment="1">
      <alignment horizontal="left" wrapText="1"/>
    </xf>
    <xf numFmtId="43" fontId="12" fillId="0" borderId="42" xfId="0" applyNumberFormat="1" applyFont="1" applyBorder="1" applyAlignment="1">
      <alignment horizontal="right" vertical="center" wrapText="1"/>
    </xf>
    <xf numFmtId="179" fontId="46" fillId="8" borderId="44" xfId="0" applyNumberFormat="1" applyFont="1" applyFill="1" applyBorder="1" applyAlignment="1">
      <alignment horizontal="center" vertical="center" shrinkToFit="1"/>
    </xf>
    <xf numFmtId="43" fontId="13" fillId="0" borderId="42" xfId="0" applyNumberFormat="1" applyFont="1" applyBorder="1" applyAlignment="1">
      <alignment horizontal="right" vertical="top" wrapText="1"/>
    </xf>
    <xf numFmtId="179" fontId="45" fillId="0" borderId="41" xfId="0" applyNumberFormat="1" applyFont="1" applyBorder="1" applyAlignment="1">
      <alignment horizontal="center" vertical="center" shrinkToFit="1"/>
    </xf>
    <xf numFmtId="43" fontId="12" fillId="0" borderId="42" xfId="0" applyNumberFormat="1" applyFont="1" applyBorder="1" applyAlignment="1">
      <alignment horizontal="right" vertical="top" wrapText="1"/>
    </xf>
    <xf numFmtId="179" fontId="46" fillId="8" borderId="41" xfId="0" applyNumberFormat="1" applyFont="1" applyFill="1" applyBorder="1" applyAlignment="1">
      <alignment horizontal="center" vertical="center" shrinkToFit="1"/>
    </xf>
    <xf numFmtId="0" fontId="13" fillId="0" borderId="46" xfId="10" applyFont="1" applyBorder="1" applyAlignment="1">
      <alignment vertical="center" wrapText="1"/>
    </xf>
    <xf numFmtId="164" fontId="13" fillId="0" borderId="11" xfId="14" applyFont="1" applyFill="1" applyBorder="1" applyAlignment="1">
      <alignment vertical="center" wrapText="1"/>
    </xf>
    <xf numFmtId="164" fontId="13" fillId="2" borderId="7" xfId="14" applyFont="1" applyFill="1" applyBorder="1" applyAlignment="1">
      <alignment vertical="center"/>
    </xf>
    <xf numFmtId="0" fontId="12" fillId="4" borderId="1" xfId="10" applyFill="1" applyBorder="1" applyAlignment="1">
      <alignment horizontal="center" vertical="center"/>
    </xf>
    <xf numFmtId="164" fontId="13" fillId="0" borderId="11" xfId="26" applyFont="1" applyFill="1" applyBorder="1" applyAlignment="1">
      <alignment vertical="center"/>
    </xf>
    <xf numFmtId="0" fontId="12" fillId="0" borderId="46" xfId="10" applyBorder="1" applyAlignment="1">
      <alignment horizontal="center" vertical="center"/>
    </xf>
    <xf numFmtId="164" fontId="13" fillId="2" borderId="1" xfId="45" applyFont="1" applyFill="1" applyBorder="1" applyAlignment="1">
      <alignment vertical="center"/>
    </xf>
    <xf numFmtId="164" fontId="12" fillId="0" borderId="1" xfId="45" applyFont="1" applyFill="1" applyBorder="1" applyAlignment="1">
      <alignment vertical="center"/>
    </xf>
    <xf numFmtId="0" fontId="13" fillId="0" borderId="46" xfId="0" applyFont="1" applyBorder="1" applyAlignment="1">
      <alignment vertical="center" wrapText="1"/>
    </xf>
    <xf numFmtId="49" fontId="38" fillId="2" borderId="4" xfId="10" applyNumberFormat="1" applyFont="1" applyFill="1" applyBorder="1" applyAlignment="1">
      <alignment vertical="center"/>
    </xf>
    <xf numFmtId="49" fontId="38" fillId="2" borderId="3" xfId="10" applyNumberFormat="1" applyFont="1" applyFill="1" applyBorder="1" applyAlignment="1">
      <alignment vertical="center"/>
    </xf>
    <xf numFmtId="2" fontId="38" fillId="2" borderId="3" xfId="10" applyNumberFormat="1" applyFont="1" applyFill="1" applyBorder="1" applyAlignment="1">
      <alignment vertical="center"/>
    </xf>
    <xf numFmtId="49" fontId="38" fillId="2" borderId="5" xfId="10" applyNumberFormat="1" applyFont="1" applyFill="1" applyBorder="1" applyAlignment="1">
      <alignment horizontal="right" vertical="center"/>
    </xf>
    <xf numFmtId="0" fontId="39" fillId="2" borderId="1" xfId="10" applyFont="1" applyFill="1" applyBorder="1" applyAlignment="1">
      <alignment vertical="center"/>
    </xf>
    <xf numFmtId="164" fontId="38" fillId="2" borderId="1" xfId="14" applyFont="1" applyFill="1" applyBorder="1" applyAlignment="1">
      <alignment vertical="center"/>
    </xf>
    <xf numFmtId="0" fontId="38" fillId="0" borderId="0" xfId="10" applyFont="1" applyAlignment="1">
      <alignment horizontal="center"/>
    </xf>
    <xf numFmtId="0" fontId="38" fillId="0" borderId="0" xfId="10" applyFont="1" applyAlignment="1">
      <alignment horizontal="center" vertical="center"/>
    </xf>
    <xf numFmtId="0" fontId="38" fillId="0" borderId="4" xfId="10" applyFont="1" applyBorder="1" applyAlignment="1">
      <alignment horizontal="left" vertical="center"/>
    </xf>
    <xf numFmtId="0" fontId="38" fillId="0" borderId="3" xfId="10" applyFont="1" applyBorder="1" applyAlignment="1">
      <alignment horizontal="left" vertical="center"/>
    </xf>
    <xf numFmtId="0" fontId="38" fillId="0" borderId="5" xfId="10" applyFont="1" applyBorder="1" applyAlignment="1">
      <alignment horizontal="left" vertical="center"/>
    </xf>
    <xf numFmtId="0" fontId="13" fillId="0" borderId="45" xfId="0" applyFont="1" applyBorder="1" applyAlignment="1">
      <alignment horizontal="right" vertical="top" wrapText="1"/>
    </xf>
    <xf numFmtId="0" fontId="13" fillId="0" borderId="24" xfId="0" applyFont="1" applyBorder="1" applyAlignment="1">
      <alignment horizontal="right" vertical="top" wrapText="1"/>
    </xf>
    <xf numFmtId="0" fontId="13" fillId="0" borderId="21" xfId="0" applyFont="1" applyBorder="1" applyAlignment="1">
      <alignment horizontal="right" vertical="top" wrapText="1"/>
    </xf>
    <xf numFmtId="0" fontId="41" fillId="0" borderId="0" xfId="0" applyFont="1" applyAlignment="1">
      <alignment horizontal="left" vertical="center"/>
    </xf>
    <xf numFmtId="0" fontId="13" fillId="0" borderId="13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38" fillId="0" borderId="0" xfId="181" applyFont="1" applyAlignment="1">
      <alignment horizontal="left" vertical="center"/>
    </xf>
    <xf numFmtId="0" fontId="12" fillId="0" borderId="0" xfId="181" applyFont="1" applyAlignment="1">
      <alignment horizontal="left" vertical="center"/>
    </xf>
    <xf numFmtId="10" fontId="38" fillId="0" borderId="1" xfId="10" applyNumberFormat="1" applyFont="1" applyBorder="1" applyAlignment="1">
      <alignment horizontal="center" vertical="center" wrapText="1"/>
    </xf>
    <xf numFmtId="0" fontId="13" fillId="0" borderId="26" xfId="10" applyFont="1" applyBorder="1" applyAlignment="1">
      <alignment horizontal="center" vertical="center"/>
    </xf>
    <xf numFmtId="0" fontId="13" fillId="0" borderId="25" xfId="10" applyFont="1" applyBorder="1" applyAlignment="1">
      <alignment horizontal="center" vertical="center"/>
    </xf>
    <xf numFmtId="0" fontId="13" fillId="0" borderId="27" xfId="10" applyFont="1" applyBorder="1" applyAlignment="1">
      <alignment horizontal="center" vertical="center"/>
    </xf>
    <xf numFmtId="0" fontId="13" fillId="0" borderId="0" xfId="10" applyFont="1" applyAlignment="1">
      <alignment horizontal="center" vertical="center"/>
    </xf>
    <xf numFmtId="0" fontId="12" fillId="11" borderId="28" xfId="10" applyFill="1" applyBorder="1" applyAlignment="1">
      <alignment horizontal="center"/>
    </xf>
    <xf numFmtId="0" fontId="12" fillId="11" borderId="29" xfId="10" applyFill="1" applyBorder="1" applyAlignment="1">
      <alignment horizontal="center"/>
    </xf>
    <xf numFmtId="0" fontId="12" fillId="0" borderId="28" xfId="10" applyBorder="1" applyAlignment="1">
      <alignment horizontal="center"/>
    </xf>
    <xf numFmtId="0" fontId="12" fillId="0" borderId="31" xfId="10" applyBorder="1" applyAlignment="1">
      <alignment horizontal="center"/>
    </xf>
    <xf numFmtId="0" fontId="12" fillId="0" borderId="29" xfId="10" applyBorder="1" applyAlignment="1">
      <alignment horizontal="center"/>
    </xf>
    <xf numFmtId="0" fontId="43" fillId="0" borderId="4" xfId="10" applyFont="1" applyBorder="1" applyAlignment="1">
      <alignment horizontal="left" vertical="center" wrapText="1"/>
    </xf>
    <xf numFmtId="0" fontId="43" fillId="0" borderId="3" xfId="10" applyFont="1" applyBorder="1" applyAlignment="1">
      <alignment horizontal="left" vertical="center" wrapText="1"/>
    </xf>
    <xf numFmtId="0" fontId="43" fillId="0" borderId="5" xfId="10" applyFont="1" applyBorder="1" applyAlignment="1">
      <alignment horizontal="left" vertical="center" wrapText="1"/>
    </xf>
    <xf numFmtId="0" fontId="44" fillId="0" borderId="0" xfId="181" applyAlignment="1">
      <alignment horizontal="center"/>
    </xf>
    <xf numFmtId="0" fontId="34" fillId="0" borderId="1" xfId="181" applyFont="1" applyBorder="1" applyAlignment="1">
      <alignment horizontal="center" vertical="center"/>
    </xf>
    <xf numFmtId="0" fontId="13" fillId="0" borderId="1" xfId="181" applyFont="1" applyBorder="1" applyAlignment="1">
      <alignment horizontal="center" vertical="center"/>
    </xf>
    <xf numFmtId="0" fontId="13" fillId="0" borderId="1" xfId="181" applyFont="1" applyBorder="1" applyAlignment="1">
      <alignment horizontal="right" vertical="center"/>
    </xf>
    <xf numFmtId="180" fontId="13" fillId="0" borderId="4" xfId="181" applyNumberFormat="1" applyFont="1" applyBorder="1" applyAlignment="1">
      <alignment horizontal="left" vertical="center"/>
    </xf>
    <xf numFmtId="180" fontId="13" fillId="0" borderId="3" xfId="181" applyNumberFormat="1" applyFont="1" applyBorder="1" applyAlignment="1">
      <alignment horizontal="left" vertical="center"/>
    </xf>
    <xf numFmtId="180" fontId="13" fillId="0" borderId="5" xfId="181" applyNumberFormat="1" applyFont="1" applyBorder="1" applyAlignment="1">
      <alignment horizontal="left" vertical="center"/>
    </xf>
    <xf numFmtId="0" fontId="13" fillId="0" borderId="0" xfId="181" applyFont="1" applyAlignment="1">
      <alignment horizontal="center"/>
    </xf>
    <xf numFmtId="0" fontId="38" fillId="0" borderId="15" xfId="10" applyFont="1" applyBorder="1" applyAlignment="1">
      <alignment horizontal="left" vertical="center" wrapText="1"/>
    </xf>
    <xf numFmtId="0" fontId="38" fillId="0" borderId="16" xfId="10" applyFont="1" applyBorder="1" applyAlignment="1">
      <alignment horizontal="left" vertical="center" wrapText="1"/>
    </xf>
    <xf numFmtId="0" fontId="38" fillId="0" borderId="17" xfId="10" applyFont="1" applyBorder="1" applyAlignment="1">
      <alignment horizontal="left" vertical="center" wrapText="1"/>
    </xf>
    <xf numFmtId="0" fontId="34" fillId="13" borderId="2" xfId="309" applyFont="1" applyFill="1" applyBorder="1" applyAlignment="1">
      <alignment horizontal="center" vertical="center"/>
    </xf>
    <xf numFmtId="0" fontId="34" fillId="13" borderId="32" xfId="309" applyFont="1" applyFill="1" applyBorder="1" applyAlignment="1">
      <alignment horizontal="center" vertical="center"/>
    </xf>
    <xf numFmtId="0" fontId="34" fillId="13" borderId="33" xfId="309" applyFont="1" applyFill="1" applyBorder="1" applyAlignment="1">
      <alignment horizontal="center" vertical="center"/>
    </xf>
    <xf numFmtId="0" fontId="34" fillId="14" borderId="15" xfId="309" applyFont="1" applyFill="1" applyBorder="1" applyAlignment="1">
      <alignment horizontal="center" vertical="center" wrapText="1" readingOrder="1"/>
    </xf>
    <xf numFmtId="0" fontId="34" fillId="14" borderId="34" xfId="309" applyFont="1" applyFill="1" applyBorder="1" applyAlignment="1">
      <alignment horizontal="center" vertical="center" wrapText="1" readingOrder="1"/>
    </xf>
    <xf numFmtId="0" fontId="49" fillId="14" borderId="28" xfId="309" applyFont="1" applyFill="1" applyBorder="1" applyAlignment="1">
      <alignment horizontal="center" vertical="center"/>
    </xf>
    <xf numFmtId="0" fontId="49" fillId="14" borderId="31" xfId="309" applyFont="1" applyFill="1" applyBorder="1" applyAlignment="1">
      <alignment horizontal="center" vertical="center"/>
    </xf>
    <xf numFmtId="0" fontId="49" fillId="14" borderId="29" xfId="309" applyFont="1" applyFill="1" applyBorder="1" applyAlignment="1">
      <alignment horizontal="center" vertical="center"/>
    </xf>
    <xf numFmtId="0" fontId="49" fillId="15" borderId="28" xfId="309" applyFont="1" applyFill="1" applyBorder="1" applyAlignment="1">
      <alignment horizontal="center" vertical="center"/>
    </xf>
    <xf numFmtId="0" fontId="49" fillId="15" borderId="29" xfId="309" applyFont="1" applyFill="1" applyBorder="1" applyAlignment="1">
      <alignment horizontal="center" vertical="center"/>
    </xf>
  </cellXfs>
  <cellStyles count="312">
    <cellStyle name="_x000d__x000a_JournalTemplate=C:\COMFO\CTALK\JOURSTD.TPL_x000d__x000a_LbStateAddress=3 3 0 251 1 89 2 311_x000d__x000a_LbStateJou" xfId="62" xr:uid="{00000000-0005-0000-0000-000000000000}"/>
    <cellStyle name="20% - Ênfase1 100" xfId="1" xr:uid="{00000000-0005-0000-0000-000001000000}"/>
    <cellStyle name="60% - Ênfase6 37" xfId="2" xr:uid="{00000000-0005-0000-0000-000002000000}"/>
    <cellStyle name="Comma_Arauco Piping list" xfId="63" xr:uid="{00000000-0005-0000-0000-000003000000}"/>
    <cellStyle name="Comma0" xfId="64" xr:uid="{00000000-0005-0000-0000-000004000000}"/>
    <cellStyle name="CORES" xfId="65" xr:uid="{00000000-0005-0000-0000-000005000000}"/>
    <cellStyle name="Currency [0]_Arauco Piping list" xfId="66" xr:uid="{00000000-0005-0000-0000-000006000000}"/>
    <cellStyle name="Currency_Arauco Piping list" xfId="67" xr:uid="{00000000-0005-0000-0000-000007000000}"/>
    <cellStyle name="Currency0" xfId="68" xr:uid="{00000000-0005-0000-0000-000008000000}"/>
    <cellStyle name="Data" xfId="69" xr:uid="{00000000-0005-0000-0000-000009000000}"/>
    <cellStyle name="Date" xfId="70" xr:uid="{00000000-0005-0000-0000-00000A000000}"/>
    <cellStyle name="Excel Built-in Excel Built-in Excel Built-in Excel Built-in Excel Built-in Excel Built-in Excel Built-in Excel Built-in Separador de milhares 4" xfId="3" xr:uid="{00000000-0005-0000-0000-00000B000000}"/>
    <cellStyle name="Excel Built-in Excel Built-in Excel Built-in Excel Built-in Excel Built-in Excel Built-in Excel Built-in Separador de milhares 4" xfId="4" xr:uid="{00000000-0005-0000-0000-00000C000000}"/>
    <cellStyle name="Excel Built-in Normal" xfId="5" xr:uid="{00000000-0005-0000-0000-00000D000000}"/>
    <cellStyle name="Excel Built-in Normal 1" xfId="6" xr:uid="{00000000-0005-0000-0000-00000E000000}"/>
    <cellStyle name="Excel Built-in Normal 2" xfId="30" xr:uid="{00000000-0005-0000-0000-00000F000000}"/>
    <cellStyle name="Excel Built-in Normal 3" xfId="41" xr:uid="{00000000-0005-0000-0000-000010000000}"/>
    <cellStyle name="Excel_BuiltIn_Comma" xfId="7" xr:uid="{00000000-0005-0000-0000-000011000000}"/>
    <cellStyle name="Fixed" xfId="71" xr:uid="{00000000-0005-0000-0000-000012000000}"/>
    <cellStyle name="Fixo" xfId="72" xr:uid="{00000000-0005-0000-0000-000013000000}"/>
    <cellStyle name="Followed Hyperlink" xfId="73" xr:uid="{00000000-0005-0000-0000-000014000000}"/>
    <cellStyle name="Grey" xfId="74" xr:uid="{00000000-0005-0000-0000-000015000000}"/>
    <cellStyle name="Heading" xfId="8" xr:uid="{00000000-0005-0000-0000-000016000000}"/>
    <cellStyle name="Heading 1" xfId="75" xr:uid="{00000000-0005-0000-0000-000017000000}"/>
    <cellStyle name="Heading 2" xfId="76" xr:uid="{00000000-0005-0000-0000-000018000000}"/>
    <cellStyle name="Heading1" xfId="9" xr:uid="{00000000-0005-0000-0000-000019000000}"/>
    <cellStyle name="Hiperlink 2" xfId="31" xr:uid="{00000000-0005-0000-0000-00001A000000}"/>
    <cellStyle name="Indefinido" xfId="77" xr:uid="{00000000-0005-0000-0000-00001B000000}"/>
    <cellStyle name="Input [yellow]" xfId="78" xr:uid="{00000000-0005-0000-0000-00001C000000}"/>
    <cellStyle name="material" xfId="79" xr:uid="{00000000-0005-0000-0000-00001D000000}"/>
    <cellStyle name="material 2" xfId="182" xr:uid="{00000000-0005-0000-0000-00001E000000}"/>
    <cellStyle name="MINIPG" xfId="80" xr:uid="{00000000-0005-0000-0000-00001F000000}"/>
    <cellStyle name="Moeda" xfId="305" builtinId="4"/>
    <cellStyle name="Moeda 2" xfId="32" xr:uid="{00000000-0005-0000-0000-000021000000}"/>
    <cellStyle name="Normal" xfId="0" builtinId="0"/>
    <cellStyle name="Normal - Style1" xfId="81" xr:uid="{00000000-0005-0000-0000-000023000000}"/>
    <cellStyle name="Normal 10" xfId="46" xr:uid="{00000000-0005-0000-0000-000024000000}"/>
    <cellStyle name="Normal 10 2" xfId="178" xr:uid="{00000000-0005-0000-0000-000025000000}"/>
    <cellStyle name="Normal 11" xfId="51" xr:uid="{00000000-0005-0000-0000-000026000000}"/>
    <cellStyle name="Normal 11 2" xfId="183" xr:uid="{00000000-0005-0000-0000-000027000000}"/>
    <cellStyle name="Normal 12" xfId="48" xr:uid="{00000000-0005-0000-0000-000028000000}"/>
    <cellStyle name="Normal 12 2" xfId="184" xr:uid="{00000000-0005-0000-0000-000029000000}"/>
    <cellStyle name="Normal 13" xfId="49" xr:uid="{00000000-0005-0000-0000-00002A000000}"/>
    <cellStyle name="Normal 13 2" xfId="120" xr:uid="{00000000-0005-0000-0000-00002B000000}"/>
    <cellStyle name="Normal 13 2 2" xfId="185" xr:uid="{00000000-0005-0000-0000-00002C000000}"/>
    <cellStyle name="Normal 13 3" xfId="121" xr:uid="{00000000-0005-0000-0000-00002D000000}"/>
    <cellStyle name="Normal 13 3 2" xfId="186" xr:uid="{00000000-0005-0000-0000-00002E000000}"/>
    <cellStyle name="Normal 13 4" xfId="176" xr:uid="{00000000-0005-0000-0000-00002F000000}"/>
    <cellStyle name="Normal 13 5" xfId="187" xr:uid="{00000000-0005-0000-0000-000030000000}"/>
    <cellStyle name="Normal 14" xfId="52" xr:uid="{00000000-0005-0000-0000-000031000000}"/>
    <cellStyle name="Normal 14 2" xfId="122" xr:uid="{00000000-0005-0000-0000-000032000000}"/>
    <cellStyle name="Normal 14 2 2" xfId="188" xr:uid="{00000000-0005-0000-0000-000033000000}"/>
    <cellStyle name="Normal 14 3" xfId="123" xr:uid="{00000000-0005-0000-0000-000034000000}"/>
    <cellStyle name="Normal 14 3 2" xfId="189" xr:uid="{00000000-0005-0000-0000-000035000000}"/>
    <cellStyle name="Normal 14 4" xfId="190" xr:uid="{00000000-0005-0000-0000-000036000000}"/>
    <cellStyle name="Normal 15" xfId="60" xr:uid="{00000000-0005-0000-0000-000037000000}"/>
    <cellStyle name="Normal 15 2" xfId="124" xr:uid="{00000000-0005-0000-0000-000038000000}"/>
    <cellStyle name="Normal 155" xfId="191" xr:uid="{00000000-0005-0000-0000-000039000000}"/>
    <cellStyle name="Normal 157" xfId="192" xr:uid="{00000000-0005-0000-0000-00003A000000}"/>
    <cellStyle name="Normal 159" xfId="193" xr:uid="{00000000-0005-0000-0000-00003B000000}"/>
    <cellStyle name="Normal 16" xfId="95" xr:uid="{00000000-0005-0000-0000-00003C000000}"/>
    <cellStyle name="Normal 16 2" xfId="125" xr:uid="{00000000-0005-0000-0000-00003D000000}"/>
    <cellStyle name="Normal 16 2 2" xfId="194" xr:uid="{00000000-0005-0000-0000-00003E000000}"/>
    <cellStyle name="Normal 16 3" xfId="126" xr:uid="{00000000-0005-0000-0000-00003F000000}"/>
    <cellStyle name="Normal 16 3 2" xfId="195" xr:uid="{00000000-0005-0000-0000-000040000000}"/>
    <cellStyle name="Normal 16 4" xfId="196" xr:uid="{00000000-0005-0000-0000-000041000000}"/>
    <cellStyle name="Normal 17" xfId="105" xr:uid="{00000000-0005-0000-0000-000042000000}"/>
    <cellStyle name="Normal 17 2" xfId="197" xr:uid="{00000000-0005-0000-0000-000043000000}"/>
    <cellStyle name="Normal 18" xfId="109" xr:uid="{00000000-0005-0000-0000-000044000000}"/>
    <cellStyle name="Normal 18 2" xfId="198" xr:uid="{00000000-0005-0000-0000-000045000000}"/>
    <cellStyle name="Normal 19" xfId="101" xr:uid="{00000000-0005-0000-0000-000046000000}"/>
    <cellStyle name="Normal 19 2" xfId="199" xr:uid="{00000000-0005-0000-0000-000047000000}"/>
    <cellStyle name="Normal 2" xfId="10" xr:uid="{00000000-0005-0000-0000-000048000000}"/>
    <cellStyle name="Normal 2 2" xfId="17" xr:uid="{00000000-0005-0000-0000-000049000000}"/>
    <cellStyle name="Normal 2 2 2" xfId="179" xr:uid="{00000000-0005-0000-0000-00004A000000}"/>
    <cellStyle name="Normal 2 2 2 2" xfId="306" xr:uid="{00000000-0005-0000-0000-00004B000000}"/>
    <cellStyle name="Normal 2 3" xfId="200" xr:uid="{00000000-0005-0000-0000-00004C000000}"/>
    <cellStyle name="Normal 20" xfId="103" xr:uid="{00000000-0005-0000-0000-00004D000000}"/>
    <cellStyle name="Normal 20 2" xfId="201" xr:uid="{00000000-0005-0000-0000-00004E000000}"/>
    <cellStyle name="Normal 21" xfId="106" xr:uid="{00000000-0005-0000-0000-00004F000000}"/>
    <cellStyle name="Normal 21 2" xfId="202" xr:uid="{00000000-0005-0000-0000-000050000000}"/>
    <cellStyle name="Normal 22" xfId="99" xr:uid="{00000000-0005-0000-0000-000051000000}"/>
    <cellStyle name="Normal 22 2" xfId="203" xr:uid="{00000000-0005-0000-0000-000052000000}"/>
    <cellStyle name="Normal 23" xfId="97" xr:uid="{00000000-0005-0000-0000-000053000000}"/>
    <cellStyle name="Normal 23 2" xfId="204" xr:uid="{00000000-0005-0000-0000-000054000000}"/>
    <cellStyle name="Normal 24" xfId="98" xr:uid="{00000000-0005-0000-0000-000055000000}"/>
    <cellStyle name="Normal 24 2" xfId="205" xr:uid="{00000000-0005-0000-0000-000056000000}"/>
    <cellStyle name="Normal 25" xfId="111" xr:uid="{00000000-0005-0000-0000-000057000000}"/>
    <cellStyle name="Normal 25 2" xfId="206" xr:uid="{00000000-0005-0000-0000-000058000000}"/>
    <cellStyle name="Normal 26" xfId="115" xr:uid="{00000000-0005-0000-0000-000059000000}"/>
    <cellStyle name="Normal 26 2" xfId="207" xr:uid="{00000000-0005-0000-0000-00005A000000}"/>
    <cellStyle name="Normal 27" xfId="113" xr:uid="{00000000-0005-0000-0000-00005B000000}"/>
    <cellStyle name="Normal 27 2" xfId="208" xr:uid="{00000000-0005-0000-0000-00005C000000}"/>
    <cellStyle name="Normal 28" xfId="112" xr:uid="{00000000-0005-0000-0000-00005D000000}"/>
    <cellStyle name="Normal 28 2" xfId="209" xr:uid="{00000000-0005-0000-0000-00005E000000}"/>
    <cellStyle name="Normal 29" xfId="107" xr:uid="{00000000-0005-0000-0000-00005F000000}"/>
    <cellStyle name="Normal 29 2" xfId="210" xr:uid="{00000000-0005-0000-0000-000060000000}"/>
    <cellStyle name="Normal 3" xfId="18" xr:uid="{00000000-0005-0000-0000-000061000000}"/>
    <cellStyle name="Normal 3 2" xfId="19" xr:uid="{00000000-0005-0000-0000-000062000000}"/>
    <cellStyle name="Normal 3 2 2" xfId="211" xr:uid="{00000000-0005-0000-0000-000063000000}"/>
    <cellStyle name="Normal 3 3" xfId="27" xr:uid="{00000000-0005-0000-0000-000064000000}"/>
    <cellStyle name="Normal 3 4" xfId="212" xr:uid="{00000000-0005-0000-0000-000065000000}"/>
    <cellStyle name="Normal 30" xfId="96" xr:uid="{00000000-0005-0000-0000-000066000000}"/>
    <cellStyle name="Normal 30 2" xfId="213" xr:uid="{00000000-0005-0000-0000-000067000000}"/>
    <cellStyle name="Normal 31" xfId="110" xr:uid="{00000000-0005-0000-0000-000068000000}"/>
    <cellStyle name="Normal 31 2" xfId="214" xr:uid="{00000000-0005-0000-0000-000069000000}"/>
    <cellStyle name="Normal 32" xfId="100" xr:uid="{00000000-0005-0000-0000-00006A000000}"/>
    <cellStyle name="Normal 32 2" xfId="215" xr:uid="{00000000-0005-0000-0000-00006B000000}"/>
    <cellStyle name="Normal 33" xfId="104" xr:uid="{00000000-0005-0000-0000-00006C000000}"/>
    <cellStyle name="Normal 33 2" xfId="216" xr:uid="{00000000-0005-0000-0000-00006D000000}"/>
    <cellStyle name="Normal 34" xfId="114" xr:uid="{00000000-0005-0000-0000-00006E000000}"/>
    <cellStyle name="Normal 34 2" xfId="217" xr:uid="{00000000-0005-0000-0000-00006F000000}"/>
    <cellStyle name="Normal 35" xfId="108" xr:uid="{00000000-0005-0000-0000-000070000000}"/>
    <cellStyle name="Normal 35 2" xfId="218" xr:uid="{00000000-0005-0000-0000-000071000000}"/>
    <cellStyle name="Normal 36" xfId="102" xr:uid="{00000000-0005-0000-0000-000072000000}"/>
    <cellStyle name="Normal 36 2" xfId="219" xr:uid="{00000000-0005-0000-0000-000073000000}"/>
    <cellStyle name="Normal 37" xfId="119" xr:uid="{00000000-0005-0000-0000-000074000000}"/>
    <cellStyle name="Normal 37 2" xfId="127" xr:uid="{00000000-0005-0000-0000-000075000000}"/>
    <cellStyle name="Normal 37 2 2" xfId="220" xr:uid="{00000000-0005-0000-0000-000076000000}"/>
    <cellStyle name="Normal 37 3" xfId="221" xr:uid="{00000000-0005-0000-0000-000077000000}"/>
    <cellStyle name="Normal 38" xfId="128" xr:uid="{00000000-0005-0000-0000-000078000000}"/>
    <cellStyle name="Normal 38 2" xfId="222" xr:uid="{00000000-0005-0000-0000-000079000000}"/>
    <cellStyle name="Normal 39" xfId="129" xr:uid="{00000000-0005-0000-0000-00007A000000}"/>
    <cellStyle name="Normal 39 2" xfId="223" xr:uid="{00000000-0005-0000-0000-00007B000000}"/>
    <cellStyle name="Normal 4" xfId="20" xr:uid="{00000000-0005-0000-0000-00007C000000}"/>
    <cellStyle name="Normal 4 2" xfId="224" xr:uid="{00000000-0005-0000-0000-00007D000000}"/>
    <cellStyle name="Normal 4 3" xfId="225" xr:uid="{00000000-0005-0000-0000-00007E000000}"/>
    <cellStyle name="Normal 40" xfId="130" xr:uid="{00000000-0005-0000-0000-00007F000000}"/>
    <cellStyle name="Normal 40 2" xfId="226" xr:uid="{00000000-0005-0000-0000-000080000000}"/>
    <cellStyle name="Normal 41" xfId="131" xr:uid="{00000000-0005-0000-0000-000081000000}"/>
    <cellStyle name="Normal 41 2" xfId="227" xr:uid="{00000000-0005-0000-0000-000082000000}"/>
    <cellStyle name="Normal 42" xfId="132" xr:uid="{00000000-0005-0000-0000-000083000000}"/>
    <cellStyle name="Normal 42 2" xfId="228" xr:uid="{00000000-0005-0000-0000-000084000000}"/>
    <cellStyle name="Normal 43" xfId="133" xr:uid="{00000000-0005-0000-0000-000085000000}"/>
    <cellStyle name="Normal 43 2" xfId="229" xr:uid="{00000000-0005-0000-0000-000086000000}"/>
    <cellStyle name="Normal 44" xfId="134" xr:uid="{00000000-0005-0000-0000-000087000000}"/>
    <cellStyle name="Normal 44 2" xfId="230" xr:uid="{00000000-0005-0000-0000-000088000000}"/>
    <cellStyle name="Normal 45" xfId="135" xr:uid="{00000000-0005-0000-0000-000089000000}"/>
    <cellStyle name="Normal 45 2" xfId="231" xr:uid="{00000000-0005-0000-0000-00008A000000}"/>
    <cellStyle name="Normal 46" xfId="136" xr:uid="{00000000-0005-0000-0000-00008B000000}"/>
    <cellStyle name="Normal 46 2" xfId="232" xr:uid="{00000000-0005-0000-0000-00008C000000}"/>
    <cellStyle name="Normal 47" xfId="137" xr:uid="{00000000-0005-0000-0000-00008D000000}"/>
    <cellStyle name="Normal 47 2" xfId="233" xr:uid="{00000000-0005-0000-0000-00008E000000}"/>
    <cellStyle name="Normal 48" xfId="138" xr:uid="{00000000-0005-0000-0000-00008F000000}"/>
    <cellStyle name="Normal 48 2" xfId="234" xr:uid="{00000000-0005-0000-0000-000090000000}"/>
    <cellStyle name="Normal 49" xfId="139" xr:uid="{00000000-0005-0000-0000-000091000000}"/>
    <cellStyle name="Normal 49 2" xfId="235" xr:uid="{00000000-0005-0000-0000-000092000000}"/>
    <cellStyle name="Normal 5" xfId="23" xr:uid="{00000000-0005-0000-0000-000093000000}"/>
    <cellStyle name="Normal 5 2" xfId="53" xr:uid="{00000000-0005-0000-0000-000094000000}"/>
    <cellStyle name="Normal 5 2 2" xfId="140" xr:uid="{00000000-0005-0000-0000-000095000000}"/>
    <cellStyle name="Normal 5 2 2 2" xfId="236" xr:uid="{00000000-0005-0000-0000-000096000000}"/>
    <cellStyle name="Normal 5 2 3" xfId="141" xr:uid="{00000000-0005-0000-0000-000097000000}"/>
    <cellStyle name="Normal 5 2 3 2" xfId="237" xr:uid="{00000000-0005-0000-0000-000098000000}"/>
    <cellStyle name="Normal 5 2 4" xfId="238" xr:uid="{00000000-0005-0000-0000-000099000000}"/>
    <cellStyle name="Normal 5 3" xfId="142" xr:uid="{00000000-0005-0000-0000-00009A000000}"/>
    <cellStyle name="Normal 5 3 2" xfId="239" xr:uid="{00000000-0005-0000-0000-00009B000000}"/>
    <cellStyle name="Normal 5 4" xfId="143" xr:uid="{00000000-0005-0000-0000-00009C000000}"/>
    <cellStyle name="Normal 5 4 2" xfId="240" xr:uid="{00000000-0005-0000-0000-00009D000000}"/>
    <cellStyle name="Normal 5 5" xfId="241" xr:uid="{00000000-0005-0000-0000-00009E000000}"/>
    <cellStyle name="Normal 50" xfId="144" xr:uid="{00000000-0005-0000-0000-00009F000000}"/>
    <cellStyle name="Normal 50 2" xfId="242" xr:uid="{00000000-0005-0000-0000-0000A0000000}"/>
    <cellStyle name="Normal 51" xfId="145" xr:uid="{00000000-0005-0000-0000-0000A1000000}"/>
    <cellStyle name="Normal 51 2" xfId="243" xr:uid="{00000000-0005-0000-0000-0000A2000000}"/>
    <cellStyle name="Normal 52" xfId="146" xr:uid="{00000000-0005-0000-0000-0000A3000000}"/>
    <cellStyle name="Normal 52 2" xfId="244" xr:uid="{00000000-0005-0000-0000-0000A4000000}"/>
    <cellStyle name="Normal 53" xfId="147" xr:uid="{00000000-0005-0000-0000-0000A5000000}"/>
    <cellStyle name="Normal 53 2" xfId="245" xr:uid="{00000000-0005-0000-0000-0000A6000000}"/>
    <cellStyle name="Normal 54" xfId="148" xr:uid="{00000000-0005-0000-0000-0000A7000000}"/>
    <cellStyle name="Normal 54 2" xfId="246" xr:uid="{00000000-0005-0000-0000-0000A8000000}"/>
    <cellStyle name="Normal 55" xfId="149" xr:uid="{00000000-0005-0000-0000-0000A9000000}"/>
    <cellStyle name="Normal 55 2" xfId="247" xr:uid="{00000000-0005-0000-0000-0000AA000000}"/>
    <cellStyle name="Normal 56" xfId="150" xr:uid="{00000000-0005-0000-0000-0000AB000000}"/>
    <cellStyle name="Normal 56 2" xfId="248" xr:uid="{00000000-0005-0000-0000-0000AC000000}"/>
    <cellStyle name="Normal 57" xfId="151" xr:uid="{00000000-0005-0000-0000-0000AD000000}"/>
    <cellStyle name="Normal 57 2" xfId="249" xr:uid="{00000000-0005-0000-0000-0000AE000000}"/>
    <cellStyle name="Normal 58" xfId="152" xr:uid="{00000000-0005-0000-0000-0000AF000000}"/>
    <cellStyle name="Normal 58 2" xfId="250" xr:uid="{00000000-0005-0000-0000-0000B0000000}"/>
    <cellStyle name="Normal 59" xfId="153" xr:uid="{00000000-0005-0000-0000-0000B1000000}"/>
    <cellStyle name="Normal 59 2" xfId="251" xr:uid="{00000000-0005-0000-0000-0000B2000000}"/>
    <cellStyle name="Normal 6" xfId="24" xr:uid="{00000000-0005-0000-0000-0000B3000000}"/>
    <cellStyle name="Normal 6 2" xfId="42" xr:uid="{00000000-0005-0000-0000-0000B4000000}"/>
    <cellStyle name="Normal 6 2 2" xfId="54" xr:uid="{00000000-0005-0000-0000-0000B5000000}"/>
    <cellStyle name="Normal 6 2 2 2" xfId="154" xr:uid="{00000000-0005-0000-0000-0000B6000000}"/>
    <cellStyle name="Normal 6 2 2 2 2" xfId="252" xr:uid="{00000000-0005-0000-0000-0000B7000000}"/>
    <cellStyle name="Normal 6 2 2 3" xfId="155" xr:uid="{00000000-0005-0000-0000-0000B8000000}"/>
    <cellStyle name="Normal 6 2 2 3 2" xfId="253" xr:uid="{00000000-0005-0000-0000-0000B9000000}"/>
    <cellStyle name="Normal 6 2 2 4" xfId="254" xr:uid="{00000000-0005-0000-0000-0000BA000000}"/>
    <cellStyle name="Normal 6 2 3" xfId="156" xr:uid="{00000000-0005-0000-0000-0000BB000000}"/>
    <cellStyle name="Normal 6 2 3 2" xfId="255" xr:uid="{00000000-0005-0000-0000-0000BC000000}"/>
    <cellStyle name="Normal 6 2 4" xfId="157" xr:uid="{00000000-0005-0000-0000-0000BD000000}"/>
    <cellStyle name="Normal 6 2 4 2" xfId="256" xr:uid="{00000000-0005-0000-0000-0000BE000000}"/>
    <cellStyle name="Normal 6 2 5" xfId="257" xr:uid="{00000000-0005-0000-0000-0000BF000000}"/>
    <cellStyle name="Normal 6 3" xfId="55" xr:uid="{00000000-0005-0000-0000-0000C0000000}"/>
    <cellStyle name="Normal 6 3 2" xfId="158" xr:uid="{00000000-0005-0000-0000-0000C1000000}"/>
    <cellStyle name="Normal 6 3 2 2" xfId="258" xr:uid="{00000000-0005-0000-0000-0000C2000000}"/>
    <cellStyle name="Normal 6 3 3" xfId="159" xr:uid="{00000000-0005-0000-0000-0000C3000000}"/>
    <cellStyle name="Normal 6 3 3 2" xfId="259" xr:uid="{00000000-0005-0000-0000-0000C4000000}"/>
    <cellStyle name="Normal 6 3 4" xfId="260" xr:uid="{00000000-0005-0000-0000-0000C5000000}"/>
    <cellStyle name="Normal 6 4" xfId="160" xr:uid="{00000000-0005-0000-0000-0000C6000000}"/>
    <cellStyle name="Normal 6 4 2" xfId="261" xr:uid="{00000000-0005-0000-0000-0000C7000000}"/>
    <cellStyle name="Normal 6 5" xfId="161" xr:uid="{00000000-0005-0000-0000-0000C8000000}"/>
    <cellStyle name="Normal 6 5 2" xfId="262" xr:uid="{00000000-0005-0000-0000-0000C9000000}"/>
    <cellStyle name="Normal 6 6" xfId="263" xr:uid="{00000000-0005-0000-0000-0000CA000000}"/>
    <cellStyle name="Normal 60" xfId="162" xr:uid="{00000000-0005-0000-0000-0000CB000000}"/>
    <cellStyle name="Normal 60 2" xfId="264" xr:uid="{00000000-0005-0000-0000-0000CC000000}"/>
    <cellStyle name="Normal 61" xfId="163" xr:uid="{00000000-0005-0000-0000-0000CD000000}"/>
    <cellStyle name="Normal 61 2" xfId="265" xr:uid="{00000000-0005-0000-0000-0000CE000000}"/>
    <cellStyle name="Normal 62" xfId="164" xr:uid="{00000000-0005-0000-0000-0000CF000000}"/>
    <cellStyle name="Normal 62 2" xfId="266" xr:uid="{00000000-0005-0000-0000-0000D0000000}"/>
    <cellStyle name="Normal 63" xfId="165" xr:uid="{00000000-0005-0000-0000-0000D1000000}"/>
    <cellStyle name="Normal 63 2" xfId="267" xr:uid="{00000000-0005-0000-0000-0000D2000000}"/>
    <cellStyle name="Normal 64" xfId="173" xr:uid="{00000000-0005-0000-0000-0000D3000000}"/>
    <cellStyle name="Normal 64 2" xfId="268" xr:uid="{00000000-0005-0000-0000-0000D4000000}"/>
    <cellStyle name="Normal 65" xfId="181" xr:uid="{00000000-0005-0000-0000-0000D5000000}"/>
    <cellStyle name="Normal 65 2" xfId="308" xr:uid="{00000000-0005-0000-0000-0000D6000000}"/>
    <cellStyle name="Normal 65 2 2" xfId="309" xr:uid="{00000000-0005-0000-0000-0000D7000000}"/>
    <cellStyle name="Normal 66" xfId="269" xr:uid="{00000000-0005-0000-0000-0000D8000000}"/>
    <cellStyle name="Normal 66 2" xfId="310" xr:uid="{00000000-0005-0000-0000-0000D9000000}"/>
    <cellStyle name="Normal 67" xfId="270" xr:uid="{00000000-0005-0000-0000-0000DA000000}"/>
    <cellStyle name="Normal 7" xfId="25" xr:uid="{00000000-0005-0000-0000-0000DB000000}"/>
    <cellStyle name="Normal 7 2" xfId="39" xr:uid="{00000000-0005-0000-0000-0000DC000000}"/>
    <cellStyle name="Normal 7 2 2" xfId="271" xr:uid="{00000000-0005-0000-0000-0000DD000000}"/>
    <cellStyle name="Normal 7 3" xfId="272" xr:uid="{00000000-0005-0000-0000-0000DE000000}"/>
    <cellStyle name="Normal 8" xfId="40" xr:uid="{00000000-0005-0000-0000-0000DF000000}"/>
    <cellStyle name="Normal 8 2" xfId="56" xr:uid="{00000000-0005-0000-0000-0000E0000000}"/>
    <cellStyle name="Normal 8 2 2" xfId="273" xr:uid="{00000000-0005-0000-0000-0000E1000000}"/>
    <cellStyle name="Normal 8 3" xfId="274" xr:uid="{00000000-0005-0000-0000-0000E2000000}"/>
    <cellStyle name="Normal 85" xfId="180" xr:uid="{00000000-0005-0000-0000-0000E3000000}"/>
    <cellStyle name="Normal 9" xfId="47" xr:uid="{00000000-0005-0000-0000-0000E4000000}"/>
    <cellStyle name="Normal 9 2" xfId="275" xr:uid="{00000000-0005-0000-0000-0000E5000000}"/>
    <cellStyle name="Normal1" xfId="82" xr:uid="{00000000-0005-0000-0000-0000E6000000}"/>
    <cellStyle name="Normal2" xfId="83" xr:uid="{00000000-0005-0000-0000-0000E7000000}"/>
    <cellStyle name="Normal3" xfId="84" xr:uid="{00000000-0005-0000-0000-0000E8000000}"/>
    <cellStyle name="Percent [2]" xfId="85" xr:uid="{00000000-0005-0000-0000-0000E9000000}"/>
    <cellStyle name="Percent [2] 2" xfId="276" xr:uid="{00000000-0005-0000-0000-0000EA000000}"/>
    <cellStyle name="Percent_Sheet1" xfId="86" xr:uid="{00000000-0005-0000-0000-0000EB000000}"/>
    <cellStyle name="Percentual" xfId="87" xr:uid="{00000000-0005-0000-0000-0000EC000000}"/>
    <cellStyle name="Ponto" xfId="88" xr:uid="{00000000-0005-0000-0000-0000ED000000}"/>
    <cellStyle name="Porcentagem 2" xfId="11" xr:uid="{00000000-0005-0000-0000-0000EE000000}"/>
    <cellStyle name="Porcentagem 2 2" xfId="277" xr:uid="{00000000-0005-0000-0000-0000EF000000}"/>
    <cellStyle name="Porcentagem 3" xfId="33" xr:uid="{00000000-0005-0000-0000-0000F0000000}"/>
    <cellStyle name="Porcentagem 3 2" xfId="43" xr:uid="{00000000-0005-0000-0000-0000F1000000}"/>
    <cellStyle name="Porcentagem 3 3" xfId="278" xr:uid="{00000000-0005-0000-0000-0000F2000000}"/>
    <cellStyle name="Porcentagem 4" xfId="29" xr:uid="{00000000-0005-0000-0000-0000F3000000}"/>
    <cellStyle name="Porcentagem 4 2" xfId="34" xr:uid="{00000000-0005-0000-0000-0000F4000000}"/>
    <cellStyle name="Porcentagem 4 2 2" xfId="279" xr:uid="{00000000-0005-0000-0000-0000F5000000}"/>
    <cellStyle name="Porcentagem 5" xfId="61" xr:uid="{00000000-0005-0000-0000-0000F6000000}"/>
    <cellStyle name="Porcentagem 6" xfId="116" xr:uid="{00000000-0005-0000-0000-0000F7000000}"/>
    <cellStyle name="Porcentagem 6 2" xfId="166" xr:uid="{00000000-0005-0000-0000-0000F8000000}"/>
    <cellStyle name="Porcentagem 6 2 2" xfId="280" xr:uid="{00000000-0005-0000-0000-0000F9000000}"/>
    <cellStyle name="Porcentagem 6 3" xfId="281" xr:uid="{00000000-0005-0000-0000-0000FA000000}"/>
    <cellStyle name="Porcentagem 7" xfId="175" xr:uid="{00000000-0005-0000-0000-0000FB000000}"/>
    <cellStyle name="Porcentagem 8" xfId="307" xr:uid="{00000000-0005-0000-0000-0000FC000000}"/>
    <cellStyle name="Porcentagem 8 2" xfId="311" xr:uid="{00000000-0005-0000-0000-0000FD000000}"/>
    <cellStyle name="Result" xfId="12" xr:uid="{00000000-0005-0000-0000-0000FE000000}"/>
    <cellStyle name="Result2" xfId="13" xr:uid="{00000000-0005-0000-0000-0000FF000000}"/>
    <cellStyle name="Sep. milhar [0]" xfId="89" xr:uid="{00000000-0005-0000-0000-000000010000}"/>
    <cellStyle name="Separador de m" xfId="90" xr:uid="{00000000-0005-0000-0000-000001010000}"/>
    <cellStyle name="Separador de milhares 2" xfId="15" xr:uid="{00000000-0005-0000-0000-000002010000}"/>
    <cellStyle name="Separador de milhares 2 2" xfId="21" xr:uid="{00000000-0005-0000-0000-000003010000}"/>
    <cellStyle name="Separador de milhares 2 2 2" xfId="282" xr:uid="{00000000-0005-0000-0000-000004010000}"/>
    <cellStyle name="Separador de milhares 2 3" xfId="283" xr:uid="{00000000-0005-0000-0000-000005010000}"/>
    <cellStyle name="Separador de milhares 3" xfId="22" xr:uid="{00000000-0005-0000-0000-000006010000}"/>
    <cellStyle name="Separador de milhares 4" xfId="16" xr:uid="{00000000-0005-0000-0000-000007010000}"/>
    <cellStyle name="Sepavador de milhares [0]_Pasta2" xfId="91" xr:uid="{00000000-0005-0000-0000-000008010000}"/>
    <cellStyle name="Standard_RP100_01 (metr.)" xfId="92" xr:uid="{00000000-0005-0000-0000-000009010000}"/>
    <cellStyle name="Titulo1" xfId="93" xr:uid="{00000000-0005-0000-0000-00000A010000}"/>
    <cellStyle name="Titulo2" xfId="94" xr:uid="{00000000-0005-0000-0000-00000B010000}"/>
    <cellStyle name="Vírgula" xfId="14" builtinId="3"/>
    <cellStyle name="Vírgula 10" xfId="117" xr:uid="{00000000-0005-0000-0000-00000D010000}"/>
    <cellStyle name="Vírgula 10 2" xfId="167" xr:uid="{00000000-0005-0000-0000-00000E010000}"/>
    <cellStyle name="Vírgula 10 2 2" xfId="284" xr:uid="{00000000-0005-0000-0000-00000F010000}"/>
    <cellStyle name="Vírgula 10 3" xfId="285" xr:uid="{00000000-0005-0000-0000-000010010000}"/>
    <cellStyle name="Vírgula 11" xfId="118" xr:uid="{00000000-0005-0000-0000-000011010000}"/>
    <cellStyle name="Vírgula 11 2" xfId="286" xr:uid="{00000000-0005-0000-0000-000012010000}"/>
    <cellStyle name="Vírgula 12" xfId="168" xr:uid="{00000000-0005-0000-0000-000013010000}"/>
    <cellStyle name="Vírgula 12 2" xfId="287" xr:uid="{00000000-0005-0000-0000-000014010000}"/>
    <cellStyle name="Vírgula 13" xfId="174" xr:uid="{00000000-0005-0000-0000-000015010000}"/>
    <cellStyle name="Vírgula 2" xfId="26" xr:uid="{00000000-0005-0000-0000-000016010000}"/>
    <cellStyle name="Vírgula 2 2" xfId="45" xr:uid="{00000000-0005-0000-0000-000017010000}"/>
    <cellStyle name="Vírgula 2 2 2" xfId="288" xr:uid="{00000000-0005-0000-0000-000018010000}"/>
    <cellStyle name="Vírgula 2 3" xfId="289" xr:uid="{00000000-0005-0000-0000-000019010000}"/>
    <cellStyle name="Vírgula 2 4" xfId="290" xr:uid="{00000000-0005-0000-0000-00001A010000}"/>
    <cellStyle name="Vírgula 3" xfId="35" xr:uid="{00000000-0005-0000-0000-00001B010000}"/>
    <cellStyle name="Vírgula 3 2" xfId="36" xr:uid="{00000000-0005-0000-0000-00001C010000}"/>
    <cellStyle name="Vírgula 3 2 2" xfId="291" xr:uid="{00000000-0005-0000-0000-00001D010000}"/>
    <cellStyle name="Vírgula 3 3" xfId="292" xr:uid="{00000000-0005-0000-0000-00001E010000}"/>
    <cellStyle name="Vírgula 4" xfId="37" xr:uid="{00000000-0005-0000-0000-00001F010000}"/>
    <cellStyle name="Vírgula 5" xfId="28" xr:uid="{00000000-0005-0000-0000-000020010000}"/>
    <cellStyle name="Vírgula 5 2" xfId="38" xr:uid="{00000000-0005-0000-0000-000021010000}"/>
    <cellStyle name="Vírgula 5 2 2" xfId="293" xr:uid="{00000000-0005-0000-0000-000022010000}"/>
    <cellStyle name="Vírgula 6" xfId="44" xr:uid="{00000000-0005-0000-0000-000023010000}"/>
    <cellStyle name="Vírgula 6 2" xfId="57" xr:uid="{00000000-0005-0000-0000-000024010000}"/>
    <cellStyle name="Vírgula 6 2 2" xfId="294" xr:uid="{00000000-0005-0000-0000-000025010000}"/>
    <cellStyle name="Vírgula 6 3" xfId="295" xr:uid="{00000000-0005-0000-0000-000026010000}"/>
    <cellStyle name="Vírgula 6 3 2" xfId="296" xr:uid="{00000000-0005-0000-0000-000027010000}"/>
    <cellStyle name="Vírgula 6 4" xfId="297" xr:uid="{00000000-0005-0000-0000-000028010000}"/>
    <cellStyle name="Vírgula 7" xfId="50" xr:uid="{00000000-0005-0000-0000-000029010000}"/>
    <cellStyle name="Vírgula 7 2" xfId="169" xr:uid="{00000000-0005-0000-0000-00002A010000}"/>
    <cellStyle name="Vírgula 7 2 2" xfId="298" xr:uid="{00000000-0005-0000-0000-00002B010000}"/>
    <cellStyle name="Vírgula 7 3" xfId="170" xr:uid="{00000000-0005-0000-0000-00002C010000}"/>
    <cellStyle name="Vírgula 7 3 2" xfId="299" xr:uid="{00000000-0005-0000-0000-00002D010000}"/>
    <cellStyle name="Vírgula 7 4" xfId="177" xr:uid="{00000000-0005-0000-0000-00002E010000}"/>
    <cellStyle name="Vírgula 7 4 2" xfId="300" xr:uid="{00000000-0005-0000-0000-00002F010000}"/>
    <cellStyle name="Vírgula 7 5" xfId="301" xr:uid="{00000000-0005-0000-0000-000030010000}"/>
    <cellStyle name="Vírgula 8" xfId="58" xr:uid="{00000000-0005-0000-0000-000031010000}"/>
    <cellStyle name="Vírgula 8 2" xfId="171" xr:uid="{00000000-0005-0000-0000-000032010000}"/>
    <cellStyle name="Vírgula 8 2 2" xfId="302" xr:uid="{00000000-0005-0000-0000-000033010000}"/>
    <cellStyle name="Vírgula 8 3" xfId="172" xr:uid="{00000000-0005-0000-0000-000034010000}"/>
    <cellStyle name="Vírgula 8 3 2" xfId="303" xr:uid="{00000000-0005-0000-0000-000035010000}"/>
    <cellStyle name="Vírgula 8 4" xfId="304" xr:uid="{00000000-0005-0000-0000-000036010000}"/>
    <cellStyle name="Vírgula 9" xfId="59" xr:uid="{00000000-0005-0000-0000-000037010000}"/>
  </cellStyles>
  <dxfs count="5"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38209720690353"/>
          <c:y val="0.10426894587059612"/>
          <c:w val="0.53486110867066095"/>
          <c:h val="0.711585587261983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'CURVA ABC'!$E$8</c:f>
              <c:strCache>
                <c:ptCount val="1"/>
                <c:pt idx="0">
                  <c:v>% INDIVIDUAL</c:v>
                </c:pt>
              </c:strCache>
            </c:strRef>
          </c:tx>
          <c:invertIfNegative val="0"/>
          <c:cat>
            <c:numRef>
              <c:f>'CURVA ABC'!$B$9:$B$23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9</c:v>
                </c:pt>
                <c:pt idx="3">
                  <c:v>14</c:v>
                </c:pt>
                <c:pt idx="4">
                  <c:v>8</c:v>
                </c:pt>
                <c:pt idx="5">
                  <c:v>6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15</c:v>
                </c:pt>
                <c:pt idx="10">
                  <c:v>12</c:v>
                </c:pt>
                <c:pt idx="11">
                  <c:v>1</c:v>
                </c:pt>
                <c:pt idx="12">
                  <c:v>11</c:v>
                </c:pt>
                <c:pt idx="13">
                  <c:v>13</c:v>
                </c:pt>
                <c:pt idx="14">
                  <c:v>7</c:v>
                </c:pt>
              </c:numCache>
            </c:numRef>
          </c:cat>
          <c:val>
            <c:numRef>
              <c:f>'CURVA ABC'!$E$9:$E$23</c:f>
              <c:numCache>
                <c:formatCode>0.00%</c:formatCode>
                <c:ptCount val="15"/>
                <c:pt idx="0">
                  <c:v>0.21668224898420554</c:v>
                </c:pt>
                <c:pt idx="1">
                  <c:v>0.14690827631680567</c:v>
                </c:pt>
                <c:pt idx="2">
                  <c:v>0.10904033229084406</c:v>
                </c:pt>
                <c:pt idx="3">
                  <c:v>9.8058662339364791E-2</c:v>
                </c:pt>
                <c:pt idx="4">
                  <c:v>7.4542138680013761E-2</c:v>
                </c:pt>
                <c:pt idx="5">
                  <c:v>5.6031934394777577E-2</c:v>
                </c:pt>
                <c:pt idx="6">
                  <c:v>5.1875960516023764E-2</c:v>
                </c:pt>
                <c:pt idx="7">
                  <c:v>4.4465778011743E-2</c:v>
                </c:pt>
                <c:pt idx="8">
                  <c:v>4.3429094229751719E-2</c:v>
                </c:pt>
                <c:pt idx="9">
                  <c:v>4.3218520280115129E-2</c:v>
                </c:pt>
                <c:pt idx="10">
                  <c:v>3.8457580128642387E-2</c:v>
                </c:pt>
                <c:pt idx="11">
                  <c:v>3.3456761556518576E-2</c:v>
                </c:pt>
                <c:pt idx="12">
                  <c:v>2.155743684234487E-2</c:v>
                </c:pt>
                <c:pt idx="13">
                  <c:v>1.5157335209458275E-2</c:v>
                </c:pt>
                <c:pt idx="14">
                  <c:v>7.1179402193908706E-3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84-4AAC-98B2-969EFE613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350720"/>
        <c:axId val="215815808"/>
      </c:barChart>
      <c:lineChart>
        <c:grouping val="stacked"/>
        <c:varyColors val="0"/>
        <c:ser>
          <c:idx val="1"/>
          <c:order val="1"/>
          <c:tx>
            <c:strRef>
              <c:f>'CURVA ABC'!$F$8</c:f>
              <c:strCache>
                <c:ptCount val="1"/>
                <c:pt idx="0">
                  <c:v>% ACUMULADA</c:v>
                </c:pt>
              </c:strCache>
            </c:strRef>
          </c:tx>
          <c:marker>
            <c:symbol val="none"/>
          </c:marker>
          <c:cat>
            <c:numRef>
              <c:f>'CURVA ABC'!$B$9:$B$23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9</c:v>
                </c:pt>
                <c:pt idx="3">
                  <c:v>14</c:v>
                </c:pt>
                <c:pt idx="4">
                  <c:v>8</c:v>
                </c:pt>
                <c:pt idx="5">
                  <c:v>6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15</c:v>
                </c:pt>
                <c:pt idx="10">
                  <c:v>12</c:v>
                </c:pt>
                <c:pt idx="11">
                  <c:v>1</c:v>
                </c:pt>
                <c:pt idx="12">
                  <c:v>11</c:v>
                </c:pt>
                <c:pt idx="13">
                  <c:v>13</c:v>
                </c:pt>
                <c:pt idx="14">
                  <c:v>7</c:v>
                </c:pt>
              </c:numCache>
            </c:numRef>
          </c:cat>
          <c:val>
            <c:numRef>
              <c:f>'CURVA ABC'!$F$9:$F$23</c:f>
              <c:numCache>
                <c:formatCode>0.00%</c:formatCode>
                <c:ptCount val="15"/>
                <c:pt idx="0">
                  <c:v>0.21668224898420554</c:v>
                </c:pt>
                <c:pt idx="1">
                  <c:v>0.36359052530101121</c:v>
                </c:pt>
                <c:pt idx="2">
                  <c:v>0.4726308575918553</c:v>
                </c:pt>
                <c:pt idx="3">
                  <c:v>0.57068951993122008</c:v>
                </c:pt>
                <c:pt idx="4">
                  <c:v>0.64523165861123388</c:v>
                </c:pt>
                <c:pt idx="5">
                  <c:v>0.70126359300601149</c:v>
                </c:pt>
                <c:pt idx="6">
                  <c:v>0.75313955352203521</c:v>
                </c:pt>
                <c:pt idx="7">
                  <c:v>0.79760533153377822</c:v>
                </c:pt>
                <c:pt idx="8">
                  <c:v>0.84103442576352994</c:v>
                </c:pt>
                <c:pt idx="9">
                  <c:v>0.88425294604364502</c:v>
                </c:pt>
                <c:pt idx="10">
                  <c:v>0.92271052617228744</c:v>
                </c:pt>
                <c:pt idx="11">
                  <c:v>0.95616728772880599</c:v>
                </c:pt>
                <c:pt idx="12">
                  <c:v>0.97772472457115089</c:v>
                </c:pt>
                <c:pt idx="13">
                  <c:v>0.93786786138174572</c:v>
                </c:pt>
                <c:pt idx="14">
                  <c:v>0.94498580160113654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84-4AAC-98B2-969EFE613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350720"/>
        <c:axId val="215815808"/>
      </c:lineChart>
      <c:catAx>
        <c:axId val="21635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5815808"/>
        <c:crosses val="autoZero"/>
        <c:auto val="1"/>
        <c:lblAlgn val="ctr"/>
        <c:lblOffset val="100"/>
        <c:noMultiLvlLbl val="0"/>
      </c:catAx>
      <c:valAx>
        <c:axId val="21581580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6350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285316522579897"/>
          <c:y val="0.4168600174278152"/>
          <c:w val="0.18332308862607358"/>
          <c:h val="0.18926810054553334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5" Type="http://schemas.openxmlformats.org/officeDocument/2006/relationships/image" Target="../media/image3.png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29104</xdr:colOff>
      <xdr:row>0</xdr:row>
      <xdr:rowOff>158749</xdr:rowOff>
    </xdr:from>
    <xdr:to>
      <xdr:col>4</xdr:col>
      <xdr:colOff>1090083</xdr:colOff>
      <xdr:row>1</xdr:row>
      <xdr:rowOff>196102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937" y="158749"/>
          <a:ext cx="3272896" cy="106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840051</xdr:colOff>
      <xdr:row>0</xdr:row>
      <xdr:rowOff>141551</xdr:rowOff>
    </xdr:from>
    <xdr:to>
      <xdr:col>10</xdr:col>
      <xdr:colOff>1018</xdr:colOff>
      <xdr:row>1</xdr:row>
      <xdr:rowOff>23811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0270" y="141551"/>
          <a:ext cx="2088885" cy="906198"/>
        </a:xfrm>
        <a:prstGeom prst="rect">
          <a:avLst/>
        </a:prstGeom>
      </xdr:spPr>
    </xdr:pic>
    <xdr:clientData/>
  </xdr:twoCellAnchor>
  <xdr:twoCellAnchor editAs="oneCell">
    <xdr:from>
      <xdr:col>4</xdr:col>
      <xdr:colOff>3459450</xdr:colOff>
      <xdr:row>0</xdr:row>
      <xdr:rowOff>1</xdr:rowOff>
    </xdr:from>
    <xdr:to>
      <xdr:col>4</xdr:col>
      <xdr:colOff>4351307</xdr:colOff>
      <xdr:row>0</xdr:row>
      <xdr:rowOff>817419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3159" y="1"/>
          <a:ext cx="891857" cy="817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178841</xdr:colOff>
      <xdr:row>0</xdr:row>
      <xdr:rowOff>168919</xdr:rowOff>
    </xdr:from>
    <xdr:to>
      <xdr:col>1</xdr:col>
      <xdr:colOff>1464187</xdr:colOff>
      <xdr:row>0</xdr:row>
      <xdr:rowOff>820083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41" y="168919"/>
          <a:ext cx="1955906" cy="6511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855252</xdr:colOff>
      <xdr:row>0</xdr:row>
      <xdr:rowOff>160734</xdr:rowOff>
    </xdr:from>
    <xdr:to>
      <xdr:col>6</xdr:col>
      <xdr:colOff>658166</xdr:colOff>
      <xdr:row>0</xdr:row>
      <xdr:rowOff>850457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5652" y="160734"/>
          <a:ext cx="1616474" cy="689723"/>
        </a:xfrm>
        <a:prstGeom prst="rect">
          <a:avLst/>
        </a:prstGeom>
      </xdr:spPr>
    </xdr:pic>
    <xdr:clientData/>
  </xdr:twoCellAnchor>
  <xdr:twoCellAnchor editAs="oneCell">
    <xdr:from>
      <xdr:col>3</xdr:col>
      <xdr:colOff>3459450</xdr:colOff>
      <xdr:row>0</xdr:row>
      <xdr:rowOff>1</xdr:rowOff>
    </xdr:from>
    <xdr:to>
      <xdr:col>4</xdr:col>
      <xdr:colOff>2597</xdr:colOff>
      <xdr:row>0</xdr:row>
      <xdr:rowOff>173529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370" y="1"/>
          <a:ext cx="2627" cy="173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4144641</xdr:colOff>
      <xdr:row>0</xdr:row>
      <xdr:rowOff>170518</xdr:rowOff>
    </xdr:from>
    <xdr:to>
      <xdr:col>2</xdr:col>
      <xdr:colOff>177289</xdr:colOff>
      <xdr:row>0</xdr:row>
      <xdr:rowOff>724699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5201" y="170518"/>
          <a:ext cx="604648" cy="554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534987</xdr:colOff>
      <xdr:row>34</xdr:row>
      <xdr:rowOff>111125</xdr:rowOff>
    </xdr:from>
    <xdr:to>
      <xdr:col>6</xdr:col>
      <xdr:colOff>171450</xdr:colOff>
      <xdr:row>50</xdr:row>
      <xdr:rowOff>30163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25976</xdr:colOff>
      <xdr:row>0</xdr:row>
      <xdr:rowOff>51954</xdr:rowOff>
    </xdr:from>
    <xdr:to>
      <xdr:col>6</xdr:col>
      <xdr:colOff>935182</xdr:colOff>
      <xdr:row>0</xdr:row>
      <xdr:rowOff>1013113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156" y="51954"/>
          <a:ext cx="8430146" cy="961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3004012</xdr:colOff>
      <xdr:row>0</xdr:row>
      <xdr:rowOff>107372</xdr:rowOff>
    </xdr:from>
    <xdr:to>
      <xdr:col>3</xdr:col>
      <xdr:colOff>606647</xdr:colOff>
      <xdr:row>0</xdr:row>
      <xdr:rowOff>748145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4632" y="107372"/>
          <a:ext cx="696355" cy="640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212782</xdr:colOff>
      <xdr:row>20</xdr:row>
      <xdr:rowOff>42054</xdr:rowOff>
    </xdr:from>
    <xdr:to>
      <xdr:col>6</xdr:col>
      <xdr:colOff>624839</xdr:colOff>
      <xdr:row>23</xdr:row>
      <xdr:rowOff>60959</xdr:rowOff>
    </xdr:to>
    <xdr:pic>
      <xdr:nvPicPr>
        <xdr:cNvPr id="2" name="Imagem 1" descr="Resultado de imagem para bdi formula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8562" y="5276994"/>
          <a:ext cx="3970597" cy="689465"/>
        </a:xfrm>
        <a:prstGeom prst="rect">
          <a:avLst/>
        </a:prstGeom>
        <a:solidFill>
          <a:srgbClr val="000000">
            <a:shade val="95000"/>
          </a:srgbClr>
        </a:solidFill>
        <a:ln w="6350" cap="sq">
          <a:solidFill>
            <a:srgbClr val="000000"/>
          </a:solidFill>
          <a:miter lim="800000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661493</xdr:colOff>
      <xdr:row>26</xdr:row>
      <xdr:rowOff>10789</xdr:rowOff>
    </xdr:from>
    <xdr:to>
      <xdr:col>6</xdr:col>
      <xdr:colOff>1023640</xdr:colOff>
      <xdr:row>43</xdr:row>
      <xdr:rowOff>76200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493" y="6594469"/>
          <a:ext cx="8256467" cy="3730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530506</xdr:colOff>
      <xdr:row>1</xdr:row>
      <xdr:rowOff>88017</xdr:rowOff>
    </xdr:from>
    <xdr:to>
      <xdr:col>2</xdr:col>
      <xdr:colOff>295275</xdr:colOff>
      <xdr:row>5</xdr:row>
      <xdr:rowOff>180975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06" y="278517"/>
          <a:ext cx="2439389" cy="854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98192</xdr:colOff>
      <xdr:row>1</xdr:row>
      <xdr:rowOff>128479</xdr:rowOff>
    </xdr:from>
    <xdr:to>
      <xdr:col>7</xdr:col>
      <xdr:colOff>31419</xdr:colOff>
      <xdr:row>6</xdr:row>
      <xdr:rowOff>38100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0472" y="318979"/>
          <a:ext cx="2097307" cy="862121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276225</xdr:colOff>
      <xdr:row>1</xdr:row>
      <xdr:rowOff>133350</xdr:rowOff>
    </xdr:from>
    <xdr:to>
      <xdr:col>4</xdr:col>
      <xdr:colOff>82232</xdr:colOff>
      <xdr:row>5</xdr:row>
      <xdr:rowOff>150669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2005" y="323850"/>
          <a:ext cx="888047" cy="779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OneDrive/Documentos/Prefeitura%20de%20Portel/SETRAS/CRAS%20CENTRO/DOCUMENTOS%20MAIS%20ATUAIS/OR&#199;AMENTO%20CRAS%20CENTRO%20+%20QUADRA%20FINALL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OneDrive/Documentos/Prefeitura%20de%20Portel/SAUDE/REFORMA%20UBS%20COCAL/OR&#199;AMENTO%20UBS%20-%20COCA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OneDrive/Documentos/Prefeitura%20de%20Portel/SETRAS/CRAS%20CASTANHEIRA/SEDE%20CRAS%20CASTANHEIRA/ATUALIZA&#199;&#195;O/OR&#199;AMENTO%20CRAS%20CASTANHEIRA%200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çamento"/>
      <sheetName val="cronograma"/>
    </sheetNames>
    <sheetDataSet>
      <sheetData sheetId="0">
        <row r="1">
          <cell r="B1" t="str">
            <v>PREFEITURA MUNICIPAL DE PORTEL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çamento"/>
      <sheetName val="CURVA ABC"/>
      <sheetName val="cronograma"/>
      <sheetName val="BDI"/>
    </sheetNames>
    <sheetDataSet>
      <sheetData sheetId="0">
        <row r="3">
          <cell r="B3" t="str">
            <v>OBRA:</v>
          </cell>
        </row>
        <row r="4">
          <cell r="B4" t="str">
            <v xml:space="preserve">LOCAL: 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çamento"/>
      <sheetName val="cronograma "/>
      <sheetName val="BDI"/>
    </sheetNames>
    <sheetDataSet>
      <sheetData sheetId="0">
        <row r="3">
          <cell r="C3" t="str">
            <v>PINTURA E REPAROS NO PRÉDIO DO CRAS CASTANHEIRA</v>
          </cell>
        </row>
      </sheetData>
      <sheetData sheetId="1">
        <row r="37">
          <cell r="B37" t="str">
            <v>Elias André Gomes Pinheiro</v>
          </cell>
          <cell r="C37"/>
          <cell r="D37"/>
        </row>
        <row r="39">
          <cell r="B39" t="str">
            <v>CREA-PA: 1519607807</v>
          </cell>
          <cell r="C39"/>
          <cell r="D39"/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M182"/>
  <sheetViews>
    <sheetView showGridLines="0" view="pageBreakPreview" zoomScale="90" zoomScaleNormal="80" zoomScaleSheetLayoutView="90" zoomScalePageLayoutView="55" workbookViewId="0">
      <selection activeCell="E39" sqref="E39"/>
    </sheetView>
  </sheetViews>
  <sheetFormatPr defaultColWidth="9" defaultRowHeight="12.75" outlineLevelRow="1"/>
  <cols>
    <col min="1" max="1" width="1.375" style="2" customWidth="1"/>
    <col min="2" max="2" width="7.875" style="2" customWidth="1"/>
    <col min="3" max="3" width="11.125" style="3" customWidth="1"/>
    <col min="4" max="4" width="10" style="3" customWidth="1"/>
    <col min="5" max="5" width="79.5" style="4" customWidth="1"/>
    <col min="6" max="6" width="6.5" style="2" customWidth="1"/>
    <col min="7" max="7" width="8.625" style="107" customWidth="1"/>
    <col min="8" max="8" width="11.5" style="10" customWidth="1"/>
    <col min="9" max="9" width="11.75" style="1" customWidth="1"/>
    <col min="10" max="10" width="15.25" style="1" customWidth="1"/>
    <col min="11" max="11" width="6.25" style="1" customWidth="1"/>
    <col min="12" max="12" width="11.625" style="16" customWidth="1"/>
    <col min="13" max="16384" width="9" style="1"/>
  </cols>
  <sheetData>
    <row r="1" spans="1:12" ht="81" customHeight="1">
      <c r="A1" s="21"/>
      <c r="B1" s="246" t="s">
        <v>51</v>
      </c>
      <c r="C1" s="246"/>
      <c r="D1" s="246"/>
      <c r="E1" s="246"/>
      <c r="F1" s="246"/>
      <c r="G1" s="246"/>
      <c r="H1" s="246"/>
      <c r="I1" s="246"/>
      <c r="J1" s="246"/>
    </row>
    <row r="2" spans="1:12" ht="20.25" customHeight="1">
      <c r="A2" s="21"/>
      <c r="B2" s="247" t="s">
        <v>283</v>
      </c>
      <c r="C2" s="247"/>
      <c r="D2" s="247"/>
      <c r="E2" s="247"/>
      <c r="F2" s="247"/>
      <c r="G2" s="247"/>
      <c r="H2" s="247"/>
      <c r="I2" s="247"/>
      <c r="J2" s="247"/>
    </row>
    <row r="3" spans="1:12" ht="20.100000000000001" customHeight="1">
      <c r="A3" s="21"/>
      <c r="B3" s="131" t="s">
        <v>54</v>
      </c>
      <c r="C3" s="248" t="s">
        <v>219</v>
      </c>
      <c r="D3" s="249"/>
      <c r="E3" s="249"/>
      <c r="F3" s="249"/>
      <c r="G3" s="249"/>
      <c r="H3" s="250"/>
      <c r="I3" s="23" t="s">
        <v>57</v>
      </c>
      <c r="J3" s="132">
        <v>0.86899999999999999</v>
      </c>
    </row>
    <row r="4" spans="1:12" ht="20.100000000000001" customHeight="1">
      <c r="A4" s="21"/>
      <c r="B4" s="131" t="s">
        <v>56</v>
      </c>
      <c r="C4" s="248" t="s">
        <v>220</v>
      </c>
      <c r="D4" s="249"/>
      <c r="E4" s="249"/>
      <c r="F4" s="249"/>
      <c r="G4" s="249"/>
      <c r="H4" s="250"/>
      <c r="I4" s="23" t="s">
        <v>58</v>
      </c>
      <c r="J4" s="132">
        <v>0.47889999999999999</v>
      </c>
    </row>
    <row r="5" spans="1:12" ht="20.100000000000001" customHeight="1">
      <c r="A5" s="21"/>
      <c r="B5" s="248" t="s">
        <v>199</v>
      </c>
      <c r="C5" s="249"/>
      <c r="D5" s="249"/>
      <c r="E5" s="249"/>
      <c r="F5" s="249"/>
      <c r="G5" s="249"/>
      <c r="H5" s="250"/>
      <c r="I5" s="23" t="s">
        <v>55</v>
      </c>
      <c r="J5" s="132">
        <v>0.25</v>
      </c>
    </row>
    <row r="6" spans="1:12" ht="20.100000000000001" customHeight="1" thickBot="1">
      <c r="A6" s="8"/>
      <c r="B6" s="248" t="s">
        <v>227</v>
      </c>
      <c r="C6" s="249"/>
      <c r="D6" s="249"/>
      <c r="E6" s="249"/>
      <c r="F6" s="249"/>
      <c r="G6" s="249"/>
      <c r="H6" s="250"/>
      <c r="I6" s="23"/>
      <c r="J6" s="132"/>
    </row>
    <row r="7" spans="1:12" ht="44.25" customHeight="1" thickBot="1">
      <c r="A7" s="1"/>
      <c r="B7" s="211" t="s">
        <v>7</v>
      </c>
      <c r="C7" s="44" t="s">
        <v>8</v>
      </c>
      <c r="D7" s="44" t="s">
        <v>9</v>
      </c>
      <c r="E7" s="44" t="s">
        <v>60</v>
      </c>
      <c r="F7" s="44" t="s">
        <v>61</v>
      </c>
      <c r="G7" s="87" t="s">
        <v>62</v>
      </c>
      <c r="H7" s="45" t="s">
        <v>63</v>
      </c>
      <c r="I7" s="45" t="s">
        <v>64</v>
      </c>
      <c r="J7" s="212" t="s">
        <v>65</v>
      </c>
    </row>
    <row r="8" spans="1:12" ht="20.100000000000001" customHeight="1">
      <c r="B8" s="213">
        <v>1</v>
      </c>
      <c r="C8" s="38"/>
      <c r="D8" s="38"/>
      <c r="E8" s="39" t="s">
        <v>37</v>
      </c>
      <c r="F8" s="7"/>
      <c r="G8" s="88"/>
      <c r="H8" s="12"/>
      <c r="I8" s="7"/>
      <c r="J8" s="214"/>
    </row>
    <row r="9" spans="1:12" ht="19.149999999999999" customHeight="1" outlineLevel="1">
      <c r="B9" s="118" t="s">
        <v>69</v>
      </c>
      <c r="C9" s="5">
        <v>11340</v>
      </c>
      <c r="D9" s="57" t="s">
        <v>68</v>
      </c>
      <c r="E9" s="58" t="s">
        <v>91</v>
      </c>
      <c r="F9" s="54" t="s">
        <v>15</v>
      </c>
      <c r="G9" s="86">
        <f>2*1.2</f>
        <v>2.4</v>
      </c>
      <c r="H9" s="114">
        <v>159.66999999999999</v>
      </c>
      <c r="I9" s="13">
        <f>H9*(1+$J$5)</f>
        <v>199.58749999999998</v>
      </c>
      <c r="J9" s="20">
        <f t="shared" ref="J9:J14" si="0">I9*G9</f>
        <v>479.00999999999993</v>
      </c>
    </row>
    <row r="10" spans="1:12" outlineLevel="1">
      <c r="B10" s="118" t="s">
        <v>81</v>
      </c>
      <c r="C10" s="5">
        <v>97644</v>
      </c>
      <c r="D10" s="57" t="s">
        <v>14</v>
      </c>
      <c r="E10" s="58" t="s">
        <v>92</v>
      </c>
      <c r="F10" s="54" t="s">
        <v>15</v>
      </c>
      <c r="G10" s="86">
        <f>(0.7*2.1)+(3*2.1)</f>
        <v>7.7700000000000005</v>
      </c>
      <c r="H10" s="55">
        <v>7.96</v>
      </c>
      <c r="I10" s="20">
        <f t="shared" ref="I10:I14" si="1">H10*(1+$J$5)</f>
        <v>9.9499999999999993</v>
      </c>
      <c r="J10" s="20">
        <f t="shared" si="0"/>
        <v>77.311499999999995</v>
      </c>
      <c r="L10" s="17"/>
    </row>
    <row r="11" spans="1:12" ht="25.5" outlineLevel="1">
      <c r="B11" s="118" t="s">
        <v>284</v>
      </c>
      <c r="C11" s="5">
        <v>97650</v>
      </c>
      <c r="D11" s="57" t="s">
        <v>14</v>
      </c>
      <c r="E11" s="58" t="s">
        <v>222</v>
      </c>
      <c r="F11" s="57" t="s">
        <v>15</v>
      </c>
      <c r="G11" s="86">
        <f>G38</f>
        <v>156</v>
      </c>
      <c r="H11" s="72">
        <v>6.38</v>
      </c>
      <c r="I11" s="20">
        <f t="shared" si="1"/>
        <v>7.9749999999999996</v>
      </c>
      <c r="J11" s="20">
        <f t="shared" si="0"/>
        <v>1244.0999999999999</v>
      </c>
      <c r="L11" s="17"/>
    </row>
    <row r="12" spans="1:12" outlineLevel="1">
      <c r="B12" s="118" t="s">
        <v>285</v>
      </c>
      <c r="C12" s="5">
        <v>13</v>
      </c>
      <c r="D12" s="57" t="s">
        <v>45</v>
      </c>
      <c r="E12" s="58" t="s">
        <v>93</v>
      </c>
      <c r="F12" s="54" t="s">
        <v>12</v>
      </c>
      <c r="G12" s="86">
        <f>(((4.3*5)+12.5)*0.2*0.08)+(17*0.08)</f>
        <v>1.9040000000000001</v>
      </c>
      <c r="H12" s="55">
        <v>226.82</v>
      </c>
      <c r="I12" s="20">
        <f t="shared" si="1"/>
        <v>283.52499999999998</v>
      </c>
      <c r="J12" s="20">
        <f t="shared" si="0"/>
        <v>539.83159999999998</v>
      </c>
      <c r="L12" s="17"/>
    </row>
    <row r="13" spans="1:12" outlineLevel="1">
      <c r="B13" s="118" t="s">
        <v>73</v>
      </c>
      <c r="C13" s="5">
        <v>18</v>
      </c>
      <c r="D13" s="57" t="s">
        <v>45</v>
      </c>
      <c r="E13" s="58" t="s">
        <v>94</v>
      </c>
      <c r="F13" s="54" t="s">
        <v>15</v>
      </c>
      <c r="G13" s="86">
        <f>343*0.77</f>
        <v>264.11</v>
      </c>
      <c r="H13" s="55">
        <v>12.21</v>
      </c>
      <c r="I13" s="20">
        <f t="shared" si="1"/>
        <v>15.262500000000001</v>
      </c>
      <c r="J13" s="20">
        <f t="shared" si="0"/>
        <v>4030.9788750000007</v>
      </c>
      <c r="K13" s="125"/>
      <c r="L13" s="17"/>
    </row>
    <row r="14" spans="1:12" ht="25.5" outlineLevel="1">
      <c r="B14" s="118" t="s">
        <v>82</v>
      </c>
      <c r="C14" s="5">
        <v>97622</v>
      </c>
      <c r="D14" s="57" t="s">
        <v>14</v>
      </c>
      <c r="E14" s="59" t="s">
        <v>95</v>
      </c>
      <c r="F14" s="54" t="s">
        <v>12</v>
      </c>
      <c r="G14" s="86">
        <f>3*2</f>
        <v>6</v>
      </c>
      <c r="H14" s="55">
        <v>49.02</v>
      </c>
      <c r="I14" s="20">
        <f t="shared" si="1"/>
        <v>61.275000000000006</v>
      </c>
      <c r="J14" s="20">
        <f t="shared" si="0"/>
        <v>367.65000000000003</v>
      </c>
      <c r="L14" s="17"/>
    </row>
    <row r="15" spans="1:12" ht="20.100000000000001" customHeight="1" thickBot="1">
      <c r="B15" s="215"/>
      <c r="C15" s="18"/>
      <c r="D15" s="18"/>
      <c r="E15" s="18"/>
      <c r="F15" s="18"/>
      <c r="G15" s="89"/>
      <c r="H15" s="19" t="s">
        <v>26</v>
      </c>
      <c r="I15" s="20"/>
      <c r="J15" s="216">
        <f>SUM(J9:J14)</f>
        <v>6738.8819750000002</v>
      </c>
    </row>
    <row r="16" spans="1:12" ht="18.600000000000001" customHeight="1">
      <c r="B16" s="213">
        <v>2</v>
      </c>
      <c r="C16" s="38"/>
      <c r="D16" s="38"/>
      <c r="E16" s="39" t="s">
        <v>96</v>
      </c>
      <c r="F16" s="7"/>
      <c r="G16" s="90"/>
      <c r="H16" s="12"/>
      <c r="I16" s="46"/>
      <c r="J16" s="214"/>
    </row>
    <row r="17" spans="1:12" s="15" customFormat="1" ht="17.45" customHeight="1" outlineLevel="1">
      <c r="A17" s="48"/>
      <c r="B17" s="5" t="s">
        <v>11</v>
      </c>
      <c r="C17" s="60">
        <v>93358</v>
      </c>
      <c r="D17" s="57" t="s">
        <v>14</v>
      </c>
      <c r="E17" s="58" t="s">
        <v>78</v>
      </c>
      <c r="F17" s="57" t="s">
        <v>12</v>
      </c>
      <c r="G17" s="86">
        <f>(((4.3*5)+12.5)*0.2*0.3)+(20*0.15*0.3)</f>
        <v>2.94</v>
      </c>
      <c r="H17" s="217">
        <v>74.37</v>
      </c>
      <c r="I17" s="20">
        <f>H17*(1+$J$5)</f>
        <v>92.962500000000006</v>
      </c>
      <c r="J17" s="109">
        <f>I17*G17</f>
        <v>273.30975000000001</v>
      </c>
      <c r="L17" s="49"/>
    </row>
    <row r="18" spans="1:12" s="15" customFormat="1" ht="16.899999999999999" customHeight="1" outlineLevel="1">
      <c r="A18" s="48"/>
      <c r="B18" s="5" t="s">
        <v>83</v>
      </c>
      <c r="C18" s="60">
        <v>94</v>
      </c>
      <c r="D18" s="57" t="s">
        <v>45</v>
      </c>
      <c r="E18" s="58" t="s">
        <v>97</v>
      </c>
      <c r="F18" s="57" t="s">
        <v>12</v>
      </c>
      <c r="G18" s="86">
        <f>G17</f>
        <v>2.94</v>
      </c>
      <c r="H18" s="72">
        <v>623.99</v>
      </c>
      <c r="I18" s="20">
        <f t="shared" ref="I18:I20" si="2">H18*(1+$J$5)</f>
        <v>779.98749999999995</v>
      </c>
      <c r="J18" s="109">
        <f t="shared" ref="J18:J20" si="3">I18*G18</f>
        <v>2293.1632499999996</v>
      </c>
      <c r="L18" s="49"/>
    </row>
    <row r="19" spans="1:12" s="15" customFormat="1" ht="20.100000000000001" customHeight="1" outlineLevel="1">
      <c r="A19" s="48"/>
      <c r="B19" s="5" t="s">
        <v>286</v>
      </c>
      <c r="C19" s="60">
        <v>102476</v>
      </c>
      <c r="D19" s="57" t="s">
        <v>14</v>
      </c>
      <c r="E19" s="58" t="s">
        <v>79</v>
      </c>
      <c r="F19" s="57" t="s">
        <v>12</v>
      </c>
      <c r="G19" s="86">
        <v>4.3499999999999996</v>
      </c>
      <c r="H19" s="72">
        <v>623.64</v>
      </c>
      <c r="I19" s="20">
        <f t="shared" si="2"/>
        <v>779.55</v>
      </c>
      <c r="J19" s="109">
        <f t="shared" si="3"/>
        <v>3391.0424999999996</v>
      </c>
      <c r="L19" s="49"/>
    </row>
    <row r="20" spans="1:12" ht="37.15" customHeight="1" outlineLevel="1">
      <c r="B20" s="5" t="s">
        <v>74</v>
      </c>
      <c r="C20" s="60">
        <v>92919</v>
      </c>
      <c r="D20" s="57" t="s">
        <v>14</v>
      </c>
      <c r="E20" s="59" t="s">
        <v>98</v>
      </c>
      <c r="F20" s="57" t="s">
        <v>18</v>
      </c>
      <c r="G20" s="86">
        <f>130+30</f>
        <v>160</v>
      </c>
      <c r="H20" s="72">
        <v>13.95</v>
      </c>
      <c r="I20" s="20">
        <f t="shared" si="2"/>
        <v>17.4375</v>
      </c>
      <c r="J20" s="109">
        <f t="shared" si="3"/>
        <v>2790</v>
      </c>
      <c r="K20" s="28"/>
    </row>
    <row r="21" spans="1:12" ht="20.100000000000001" customHeight="1" thickBot="1">
      <c r="B21" s="215"/>
      <c r="C21" s="18"/>
      <c r="D21" s="18"/>
      <c r="E21" s="18"/>
      <c r="F21" s="18"/>
      <c r="G21" s="89"/>
      <c r="H21" s="19" t="s">
        <v>26</v>
      </c>
      <c r="I21" s="20"/>
      <c r="J21" s="216">
        <f>SUM(J17:J20)</f>
        <v>8747.5154999999995</v>
      </c>
    </row>
    <row r="22" spans="1:12" ht="20.100000000000001" customHeight="1">
      <c r="B22" s="213">
        <v>3</v>
      </c>
      <c r="C22" s="38"/>
      <c r="D22" s="38"/>
      <c r="E22" s="7" t="s">
        <v>38</v>
      </c>
      <c r="F22" s="7"/>
      <c r="G22" s="90"/>
      <c r="H22" s="12"/>
      <c r="I22" s="46"/>
      <c r="J22" s="214"/>
    </row>
    <row r="23" spans="1:12" s="15" customFormat="1" ht="34.9" customHeight="1" outlineLevel="1">
      <c r="A23" s="48"/>
      <c r="B23" s="218" t="s">
        <v>163</v>
      </c>
      <c r="C23" s="61"/>
      <c r="D23" s="61"/>
      <c r="E23" s="62" t="s">
        <v>24</v>
      </c>
      <c r="F23" s="61"/>
      <c r="G23" s="91"/>
      <c r="H23" s="61"/>
      <c r="I23" s="53"/>
      <c r="J23" s="53"/>
      <c r="L23" s="49"/>
    </row>
    <row r="24" spans="1:12" s="15" customFormat="1" ht="43.9" customHeight="1" outlineLevel="1">
      <c r="A24" s="48"/>
      <c r="B24" s="219" t="s">
        <v>31</v>
      </c>
      <c r="C24" s="60">
        <v>92443</v>
      </c>
      <c r="D24" s="57" t="s">
        <v>14</v>
      </c>
      <c r="E24" s="58" t="s">
        <v>196</v>
      </c>
      <c r="F24" s="57" t="s">
        <v>15</v>
      </c>
      <c r="G24" s="86">
        <v>30</v>
      </c>
      <c r="H24" s="72">
        <v>45.99</v>
      </c>
      <c r="I24" s="20">
        <f t="shared" ref="I24:I62" si="4">H24*(1+$J$5)</f>
        <v>57.487500000000004</v>
      </c>
      <c r="J24" s="20">
        <f t="shared" ref="J24:J30" si="5">I24*G24</f>
        <v>1724.6250000000002</v>
      </c>
      <c r="L24" s="49"/>
    </row>
    <row r="25" spans="1:12" s="15" customFormat="1" ht="34.9" customHeight="1" outlineLevel="1">
      <c r="A25" s="48"/>
      <c r="B25" s="219" t="s">
        <v>32</v>
      </c>
      <c r="C25" s="60">
        <v>92919</v>
      </c>
      <c r="D25" s="57" t="s">
        <v>14</v>
      </c>
      <c r="E25" s="58" t="s">
        <v>198</v>
      </c>
      <c r="F25" s="57" t="s">
        <v>18</v>
      </c>
      <c r="G25" s="86">
        <f>82+36</f>
        <v>118</v>
      </c>
      <c r="H25" s="72">
        <v>13.95</v>
      </c>
      <c r="I25" s="20">
        <f t="shared" si="4"/>
        <v>17.4375</v>
      </c>
      <c r="J25" s="20">
        <f t="shared" si="5"/>
        <v>2057.625</v>
      </c>
      <c r="L25" s="49"/>
    </row>
    <row r="26" spans="1:12" s="15" customFormat="1" ht="41.45" customHeight="1" outlineLevel="1">
      <c r="A26" s="48"/>
      <c r="B26" s="219" t="s">
        <v>33</v>
      </c>
      <c r="C26" s="60">
        <v>103671</v>
      </c>
      <c r="D26" s="57" t="s">
        <v>14</v>
      </c>
      <c r="E26" s="58" t="s">
        <v>197</v>
      </c>
      <c r="F26" s="57" t="s">
        <v>12</v>
      </c>
      <c r="G26" s="86">
        <v>1.5</v>
      </c>
      <c r="H26" s="72">
        <v>830.33</v>
      </c>
      <c r="I26" s="20">
        <f t="shared" si="4"/>
        <v>1037.9125000000001</v>
      </c>
      <c r="J26" s="20">
        <f t="shared" si="5"/>
        <v>1556.8687500000001</v>
      </c>
      <c r="L26" s="49"/>
    </row>
    <row r="27" spans="1:12" s="15" customFormat="1" ht="34.9" customHeight="1" outlineLevel="1">
      <c r="A27" s="48"/>
      <c r="B27" s="218" t="s">
        <v>164</v>
      </c>
      <c r="C27" s="61"/>
      <c r="D27" s="61"/>
      <c r="E27" s="62" t="s">
        <v>25</v>
      </c>
      <c r="F27" s="61"/>
      <c r="G27" s="91"/>
      <c r="H27" s="61"/>
      <c r="I27" s="53"/>
      <c r="J27" s="53"/>
      <c r="L27" s="49"/>
    </row>
    <row r="28" spans="1:12" s="15" customFormat="1" ht="44.45" customHeight="1" outlineLevel="1">
      <c r="A28" s="48"/>
      <c r="B28" s="219" t="s">
        <v>34</v>
      </c>
      <c r="C28" s="60">
        <v>92443</v>
      </c>
      <c r="D28" s="57" t="s">
        <v>14</v>
      </c>
      <c r="E28" s="59" t="s">
        <v>101</v>
      </c>
      <c r="F28" s="57" t="s">
        <v>15</v>
      </c>
      <c r="G28" s="86">
        <v>24</v>
      </c>
      <c r="H28" s="72">
        <v>45.99</v>
      </c>
      <c r="I28" s="20">
        <f t="shared" si="4"/>
        <v>57.487500000000004</v>
      </c>
      <c r="J28" s="20">
        <f t="shared" si="5"/>
        <v>1379.7</v>
      </c>
      <c r="L28" s="49"/>
    </row>
    <row r="29" spans="1:12" s="15" customFormat="1" ht="36.6" customHeight="1" outlineLevel="1">
      <c r="A29" s="48"/>
      <c r="B29" s="219" t="s">
        <v>35</v>
      </c>
      <c r="C29" s="60">
        <v>92919</v>
      </c>
      <c r="D29" s="57" t="s">
        <v>14</v>
      </c>
      <c r="E29" s="59" t="s">
        <v>102</v>
      </c>
      <c r="F29" s="57" t="s">
        <v>18</v>
      </c>
      <c r="G29" s="86">
        <f>55+35</f>
        <v>90</v>
      </c>
      <c r="H29" s="72">
        <v>13.95</v>
      </c>
      <c r="I29" s="20">
        <f t="shared" si="4"/>
        <v>17.4375</v>
      </c>
      <c r="J29" s="20">
        <f t="shared" si="5"/>
        <v>1569.375</v>
      </c>
      <c r="L29" s="49"/>
    </row>
    <row r="30" spans="1:12" s="15" customFormat="1" ht="43.9" customHeight="1" outlineLevel="1">
      <c r="A30" s="48"/>
      <c r="B30" s="219" t="s">
        <v>36</v>
      </c>
      <c r="C30" s="60">
        <v>103671</v>
      </c>
      <c r="D30" s="57" t="s">
        <v>14</v>
      </c>
      <c r="E30" s="59" t="s">
        <v>103</v>
      </c>
      <c r="F30" s="57" t="s">
        <v>12</v>
      </c>
      <c r="G30" s="86">
        <v>1.23</v>
      </c>
      <c r="H30" s="72">
        <v>830.33</v>
      </c>
      <c r="I30" s="20">
        <f t="shared" si="4"/>
        <v>1037.9125000000001</v>
      </c>
      <c r="J30" s="20">
        <f t="shared" si="5"/>
        <v>1276.6323750000001</v>
      </c>
      <c r="L30" s="49"/>
    </row>
    <row r="31" spans="1:12" s="15" customFormat="1" ht="43.9" customHeight="1" outlineLevel="1">
      <c r="A31" s="48"/>
      <c r="B31" s="218" t="s">
        <v>165</v>
      </c>
      <c r="C31" s="61"/>
      <c r="D31" s="61"/>
      <c r="E31" s="62" t="s">
        <v>99</v>
      </c>
      <c r="F31" s="61"/>
      <c r="G31" s="91"/>
      <c r="H31" s="61"/>
      <c r="I31" s="53"/>
      <c r="J31" s="53"/>
      <c r="L31" s="49"/>
    </row>
    <row r="32" spans="1:12" s="15" customFormat="1" ht="43.9" customHeight="1" outlineLevel="1">
      <c r="A32" s="48"/>
      <c r="B32" s="219" t="s">
        <v>84</v>
      </c>
      <c r="C32" s="60">
        <v>93182</v>
      </c>
      <c r="D32" s="57" t="s">
        <v>14</v>
      </c>
      <c r="E32" s="58" t="s">
        <v>100</v>
      </c>
      <c r="F32" s="57" t="s">
        <v>19</v>
      </c>
      <c r="G32" s="86">
        <v>15</v>
      </c>
      <c r="H32" s="72">
        <v>47.15</v>
      </c>
      <c r="I32" s="20">
        <f t="shared" si="4"/>
        <v>58.9375</v>
      </c>
      <c r="J32" s="20">
        <f t="shared" ref="J32" si="6">I32*G32</f>
        <v>884.0625</v>
      </c>
      <c r="L32" s="49"/>
    </row>
    <row r="33" spans="1:13" s="15" customFormat="1" ht="20.100000000000001" customHeight="1" thickBot="1">
      <c r="A33" s="48"/>
      <c r="B33" s="220"/>
      <c r="C33" s="52"/>
      <c r="D33" s="52"/>
      <c r="E33" s="51"/>
      <c r="F33" s="50"/>
      <c r="G33" s="92"/>
      <c r="H33" s="19" t="s">
        <v>26</v>
      </c>
      <c r="I33" s="20"/>
      <c r="J33" s="216">
        <f>SUM(J23:J32)</f>
        <v>10448.888625</v>
      </c>
      <c r="L33" s="49"/>
      <c r="M33" s="1"/>
    </row>
    <row r="34" spans="1:13" ht="20.100000000000001" customHeight="1">
      <c r="B34" s="213">
        <v>4</v>
      </c>
      <c r="C34" s="9"/>
      <c r="D34" s="9"/>
      <c r="E34" s="39" t="s">
        <v>21</v>
      </c>
      <c r="F34" s="7"/>
      <c r="G34" s="90"/>
      <c r="H34" s="12"/>
      <c r="I34" s="46"/>
      <c r="J34" s="214"/>
    </row>
    <row r="35" spans="1:13" ht="38.25" outlineLevel="1">
      <c r="B35" s="5" t="s">
        <v>13</v>
      </c>
      <c r="C35" s="5">
        <v>103322</v>
      </c>
      <c r="D35" s="5" t="s">
        <v>14</v>
      </c>
      <c r="E35" s="22" t="s">
        <v>200</v>
      </c>
      <c r="F35" s="5" t="s">
        <v>15</v>
      </c>
      <c r="G35" s="93">
        <f>(((4.32*5)+12.22)*3)+(20*0.8)</f>
        <v>117.46000000000001</v>
      </c>
      <c r="H35" s="13">
        <v>61</v>
      </c>
      <c r="I35" s="20">
        <f>H35*(1+$J$5)</f>
        <v>76.25</v>
      </c>
      <c r="J35" s="20">
        <f>I35*G35</f>
        <v>8956.3250000000007</v>
      </c>
      <c r="K35" s="28"/>
    </row>
    <row r="36" spans="1:13" ht="20.100000000000001" customHeight="1" thickBot="1">
      <c r="B36" s="215"/>
      <c r="C36" s="18"/>
      <c r="D36" s="18"/>
      <c r="E36" s="18"/>
      <c r="F36" s="18"/>
      <c r="G36" s="89"/>
      <c r="H36" s="19" t="s">
        <v>26</v>
      </c>
      <c r="I36" s="20"/>
      <c r="J36" s="216">
        <f>SUM(J35:J35)</f>
        <v>8956.3250000000007</v>
      </c>
    </row>
    <row r="37" spans="1:13" ht="20.100000000000001" customHeight="1">
      <c r="B37" s="213">
        <v>5</v>
      </c>
      <c r="C37" s="38"/>
      <c r="D37" s="38"/>
      <c r="E37" s="39" t="s">
        <v>47</v>
      </c>
      <c r="F37" s="7"/>
      <c r="G37" s="90"/>
      <c r="H37" s="12"/>
      <c r="I37" s="46"/>
      <c r="J37" s="214"/>
    </row>
    <row r="38" spans="1:13" ht="38.25" outlineLevel="1">
      <c r="B38" s="118" t="s">
        <v>16</v>
      </c>
      <c r="C38" s="118">
        <v>92539</v>
      </c>
      <c r="D38" s="118" t="s">
        <v>14</v>
      </c>
      <c r="E38" s="22" t="s">
        <v>213</v>
      </c>
      <c r="F38" s="118" t="s">
        <v>15</v>
      </c>
      <c r="G38" s="86">
        <f>312*0.5</f>
        <v>156</v>
      </c>
      <c r="H38" s="120">
        <v>64.73</v>
      </c>
      <c r="I38" s="20">
        <f t="shared" si="4"/>
        <v>80.912500000000009</v>
      </c>
      <c r="J38" s="20">
        <f>I38*G38</f>
        <v>12622.350000000002</v>
      </c>
      <c r="K38" s="28"/>
    </row>
    <row r="39" spans="1:13" ht="38.25" outlineLevel="1">
      <c r="B39" s="118" t="s">
        <v>17</v>
      </c>
      <c r="C39" s="121" t="s">
        <v>214</v>
      </c>
      <c r="D39" s="118" t="s">
        <v>45</v>
      </c>
      <c r="E39" s="22" t="s">
        <v>215</v>
      </c>
      <c r="F39" s="118" t="s">
        <v>15</v>
      </c>
      <c r="G39" s="86">
        <f>312*0.7</f>
        <v>218.39999999999998</v>
      </c>
      <c r="H39" s="120">
        <v>35.86</v>
      </c>
      <c r="I39" s="20">
        <f t="shared" si="4"/>
        <v>44.825000000000003</v>
      </c>
      <c r="J39" s="20">
        <f t="shared" ref="J39:J42" si="7">I39*G39</f>
        <v>9789.7799999999988</v>
      </c>
      <c r="K39" s="28"/>
    </row>
    <row r="40" spans="1:13" outlineLevel="1">
      <c r="B40" s="118" t="s">
        <v>27</v>
      </c>
      <c r="C40" s="122" t="s">
        <v>216</v>
      </c>
      <c r="D40" s="118" t="s">
        <v>68</v>
      </c>
      <c r="E40" s="22" t="s">
        <v>217</v>
      </c>
      <c r="F40" s="118" t="s">
        <v>15</v>
      </c>
      <c r="G40" s="86">
        <f>G39</f>
        <v>218.39999999999998</v>
      </c>
      <c r="H40" s="120">
        <v>6.99</v>
      </c>
      <c r="I40" s="20">
        <f t="shared" si="4"/>
        <v>8.7375000000000007</v>
      </c>
      <c r="J40" s="20">
        <f t="shared" si="7"/>
        <v>1908.27</v>
      </c>
      <c r="K40" s="28"/>
    </row>
    <row r="41" spans="1:13" ht="25.5" outlineLevel="1">
      <c r="B41" s="118" t="s">
        <v>76</v>
      </c>
      <c r="C41" s="123">
        <v>96486</v>
      </c>
      <c r="D41" s="118" t="s">
        <v>14</v>
      </c>
      <c r="E41" s="124" t="s">
        <v>221</v>
      </c>
      <c r="F41" s="118" t="s">
        <v>15</v>
      </c>
      <c r="G41" s="29">
        <f>312*0.5</f>
        <v>156</v>
      </c>
      <c r="H41" s="29">
        <v>93.55</v>
      </c>
      <c r="I41" s="20">
        <f t="shared" si="4"/>
        <v>116.9375</v>
      </c>
      <c r="J41" s="20">
        <f>I41*G41</f>
        <v>18242.25</v>
      </c>
      <c r="K41" s="28"/>
    </row>
    <row r="42" spans="1:13" outlineLevel="1">
      <c r="B42" s="118" t="s">
        <v>218</v>
      </c>
      <c r="C42" s="60">
        <v>70277</v>
      </c>
      <c r="D42" s="57" t="s">
        <v>68</v>
      </c>
      <c r="E42" s="59" t="s">
        <v>195</v>
      </c>
      <c r="F42" s="57" t="s">
        <v>19</v>
      </c>
      <c r="G42" s="86">
        <v>10</v>
      </c>
      <c r="H42" s="29">
        <v>86.53</v>
      </c>
      <c r="I42" s="20">
        <f t="shared" si="4"/>
        <v>108.16249999999999</v>
      </c>
      <c r="J42" s="20">
        <f t="shared" si="7"/>
        <v>1081.625</v>
      </c>
      <c r="K42" s="28"/>
    </row>
    <row r="43" spans="1:13" ht="17.25" customHeight="1">
      <c r="B43" s="215"/>
      <c r="C43" s="18"/>
      <c r="D43" s="18"/>
      <c r="E43" s="18"/>
      <c r="F43" s="18"/>
      <c r="G43" s="89"/>
      <c r="H43" s="19" t="s">
        <v>26</v>
      </c>
      <c r="I43" s="20"/>
      <c r="J43" s="216">
        <f>SUM(J38:J42)</f>
        <v>43644.275000000001</v>
      </c>
    </row>
    <row r="44" spans="1:13" ht="17.25" customHeight="1">
      <c r="B44" s="221">
        <v>6</v>
      </c>
      <c r="C44" s="84"/>
      <c r="D44" s="84"/>
      <c r="E44" s="85" t="s">
        <v>39</v>
      </c>
      <c r="F44" s="84"/>
      <c r="G44" s="94"/>
      <c r="H44" s="84"/>
      <c r="I44" s="46"/>
      <c r="J44" s="222"/>
    </row>
    <row r="45" spans="1:13" ht="17.25" customHeight="1" outlineLevel="1">
      <c r="B45" s="223" t="s">
        <v>166</v>
      </c>
      <c r="C45" s="77"/>
      <c r="D45" s="77"/>
      <c r="E45" s="112" t="s">
        <v>201</v>
      </c>
      <c r="F45" s="77"/>
      <c r="G45" s="95"/>
      <c r="H45" s="77"/>
      <c r="I45" s="20"/>
      <c r="J45" s="224"/>
    </row>
    <row r="46" spans="1:13" ht="47.45" customHeight="1" outlineLevel="1">
      <c r="B46" s="210" t="s">
        <v>156</v>
      </c>
      <c r="C46" s="208">
        <v>90789</v>
      </c>
      <c r="D46" s="57" t="s">
        <v>14</v>
      </c>
      <c r="E46" s="56" t="s">
        <v>160</v>
      </c>
      <c r="F46" s="57" t="s">
        <v>10</v>
      </c>
      <c r="G46" s="86">
        <v>5</v>
      </c>
      <c r="H46" s="72">
        <v>654.61</v>
      </c>
      <c r="I46" s="20">
        <f>H46*(1+$J$5)</f>
        <v>818.26250000000005</v>
      </c>
      <c r="J46" s="225">
        <f>I46*G46</f>
        <v>4091.3125</v>
      </c>
    </row>
    <row r="47" spans="1:13" outlineLevel="1">
      <c r="B47" s="210" t="s">
        <v>226</v>
      </c>
      <c r="C47" s="209">
        <v>91516</v>
      </c>
      <c r="D47" s="118" t="s">
        <v>68</v>
      </c>
      <c r="E47" s="128" t="s">
        <v>225</v>
      </c>
      <c r="F47" s="118" t="s">
        <v>15</v>
      </c>
      <c r="G47" s="129">
        <v>1</v>
      </c>
      <c r="H47" s="13">
        <v>740.42</v>
      </c>
      <c r="I47" s="20">
        <f t="shared" ref="I47:I48" si="8">H47*(1+$J$5)</f>
        <v>925.52499999999998</v>
      </c>
      <c r="J47" s="225">
        <f t="shared" ref="J47:J48" si="9">I47*G47</f>
        <v>925.52499999999998</v>
      </c>
    </row>
    <row r="48" spans="1:13" ht="41.25" customHeight="1" outlineLevel="1">
      <c r="B48" s="210" t="s">
        <v>157</v>
      </c>
      <c r="C48" s="208">
        <v>90797</v>
      </c>
      <c r="D48" s="57" t="s">
        <v>14</v>
      </c>
      <c r="E48" s="58" t="s">
        <v>202</v>
      </c>
      <c r="F48" s="57" t="s">
        <v>10</v>
      </c>
      <c r="G48" s="86">
        <v>6</v>
      </c>
      <c r="H48" s="72">
        <v>590.62</v>
      </c>
      <c r="I48" s="20">
        <f t="shared" si="8"/>
        <v>738.27499999999998</v>
      </c>
      <c r="J48" s="225">
        <f t="shared" si="9"/>
        <v>4429.6499999999996</v>
      </c>
    </row>
    <row r="49" spans="1:12" ht="17.25" customHeight="1" outlineLevel="1">
      <c r="B49" s="226" t="s">
        <v>287</v>
      </c>
      <c r="C49" s="113"/>
      <c r="D49" s="113"/>
      <c r="E49" s="112" t="s">
        <v>158</v>
      </c>
      <c r="F49" s="115"/>
      <c r="G49" s="95"/>
      <c r="H49" s="77"/>
      <c r="I49" s="20"/>
      <c r="J49" s="225"/>
    </row>
    <row r="50" spans="1:12" ht="35.25" customHeight="1" outlineLevel="1">
      <c r="B50" s="219" t="s">
        <v>288</v>
      </c>
      <c r="C50" s="60">
        <v>94570</v>
      </c>
      <c r="D50" s="57" t="s">
        <v>14</v>
      </c>
      <c r="E50" s="58" t="s">
        <v>159</v>
      </c>
      <c r="F50" s="54" t="s">
        <v>15</v>
      </c>
      <c r="G50" s="96">
        <v>5</v>
      </c>
      <c r="H50" s="72">
        <v>294.32</v>
      </c>
      <c r="I50" s="20">
        <f t="shared" si="4"/>
        <v>367.9</v>
      </c>
      <c r="J50" s="225">
        <f t="shared" ref="J50" si="10">I50*G50</f>
        <v>1839.5</v>
      </c>
    </row>
    <row r="51" spans="1:12" ht="17.25" customHeight="1">
      <c r="B51" s="251" t="s">
        <v>53</v>
      </c>
      <c r="C51" s="252"/>
      <c r="D51" s="252"/>
      <c r="E51" s="252"/>
      <c r="F51" s="252"/>
      <c r="G51" s="252"/>
      <c r="H51" s="253"/>
      <c r="I51" s="20"/>
      <c r="J51" s="227">
        <f>SUM(J46:J50)</f>
        <v>11285.987499999999</v>
      </c>
    </row>
    <row r="52" spans="1:12" ht="17.25" customHeight="1">
      <c r="B52" s="221">
        <v>7</v>
      </c>
      <c r="C52" s="84"/>
      <c r="D52" s="84"/>
      <c r="E52" s="85" t="s">
        <v>161</v>
      </c>
      <c r="F52" s="84"/>
      <c r="G52" s="94"/>
      <c r="H52" s="84"/>
      <c r="I52" s="46"/>
      <c r="J52" s="222"/>
    </row>
    <row r="53" spans="1:12" ht="17.25" customHeight="1" outlineLevel="1">
      <c r="B53" s="228" t="s">
        <v>20</v>
      </c>
      <c r="C53" s="60">
        <v>9443</v>
      </c>
      <c r="D53" s="57" t="s">
        <v>45</v>
      </c>
      <c r="E53" s="58" t="s">
        <v>162</v>
      </c>
      <c r="F53" s="63" t="s">
        <v>15</v>
      </c>
      <c r="G53" s="96">
        <f>((4.3*5)+12.5+20)*0.45</f>
        <v>24.3</v>
      </c>
      <c r="H53" s="114">
        <v>47.2</v>
      </c>
      <c r="I53" s="20">
        <f t="shared" si="4"/>
        <v>59</v>
      </c>
      <c r="J53" s="229">
        <f>I53*G53</f>
        <v>1433.7</v>
      </c>
    </row>
    <row r="54" spans="1:12" ht="17.25" customHeight="1" thickBot="1">
      <c r="B54" s="251" t="s">
        <v>53</v>
      </c>
      <c r="C54" s="252"/>
      <c r="D54" s="252"/>
      <c r="E54" s="252"/>
      <c r="F54" s="252"/>
      <c r="G54" s="252"/>
      <c r="H54" s="253"/>
      <c r="I54" s="20"/>
      <c r="J54" s="227">
        <f>J53</f>
        <v>1433.7</v>
      </c>
    </row>
    <row r="55" spans="1:12" ht="20.100000000000001" customHeight="1">
      <c r="B55" s="213">
        <v>8</v>
      </c>
      <c r="C55" s="38"/>
      <c r="D55" s="38"/>
      <c r="E55" s="39" t="s">
        <v>41</v>
      </c>
      <c r="F55" s="7"/>
      <c r="G55" s="97"/>
      <c r="H55" s="12"/>
      <c r="I55" s="46"/>
      <c r="J55" s="214"/>
    </row>
    <row r="56" spans="1:12" ht="33.75" customHeight="1" outlineLevel="1">
      <c r="B56" s="118" t="s">
        <v>167</v>
      </c>
      <c r="C56" s="60">
        <v>87905</v>
      </c>
      <c r="D56" s="57" t="s">
        <v>14</v>
      </c>
      <c r="E56" s="59" t="s">
        <v>104</v>
      </c>
      <c r="F56" s="57" t="s">
        <v>15</v>
      </c>
      <c r="G56" s="86">
        <f>G35*2</f>
        <v>234.92000000000002</v>
      </c>
      <c r="H56" s="13">
        <v>8.65</v>
      </c>
      <c r="I56" s="20">
        <f t="shared" si="4"/>
        <v>10.8125</v>
      </c>
      <c r="J56" s="20">
        <f>I56*G56</f>
        <v>2540.0725000000002</v>
      </c>
    </row>
    <row r="57" spans="1:12" ht="45" customHeight="1" outlineLevel="1">
      <c r="B57" s="118" t="s">
        <v>168</v>
      </c>
      <c r="C57" s="60">
        <v>87529</v>
      </c>
      <c r="D57" s="57" t="s">
        <v>14</v>
      </c>
      <c r="E57" s="59" t="s">
        <v>105</v>
      </c>
      <c r="F57" s="64" t="s">
        <v>15</v>
      </c>
      <c r="G57" s="86">
        <f>G56</f>
        <v>234.92000000000002</v>
      </c>
      <c r="H57" s="13">
        <v>42.48</v>
      </c>
      <c r="I57" s="20">
        <f t="shared" si="4"/>
        <v>53.099999999999994</v>
      </c>
      <c r="J57" s="20">
        <f t="shared" ref="J57" si="11">I57*G57</f>
        <v>12474.252</v>
      </c>
    </row>
    <row r="58" spans="1:12" ht="20.100000000000001" customHeight="1" thickBot="1">
      <c r="B58" s="215"/>
      <c r="C58" s="18"/>
      <c r="D58" s="18"/>
      <c r="E58" s="18"/>
      <c r="F58" s="18"/>
      <c r="G58" s="89"/>
      <c r="H58" s="19" t="s">
        <v>26</v>
      </c>
      <c r="I58" s="20"/>
      <c r="J58" s="216">
        <f>SUM(J56:J57)</f>
        <v>15014.324500000001</v>
      </c>
    </row>
    <row r="59" spans="1:12" ht="20.100000000000001" customHeight="1">
      <c r="B59" s="213">
        <v>9</v>
      </c>
      <c r="C59" s="38"/>
      <c r="D59" s="38"/>
      <c r="E59" s="39" t="s">
        <v>43</v>
      </c>
      <c r="F59" s="7"/>
      <c r="G59" s="90"/>
      <c r="H59" s="12"/>
      <c r="I59" s="46"/>
      <c r="J59" s="214"/>
    </row>
    <row r="60" spans="1:12" s="15" customFormat="1" ht="26.25" customHeight="1" outlineLevel="1">
      <c r="A60" s="2"/>
      <c r="B60" s="230">
        <v>9.1</v>
      </c>
      <c r="C60" s="61"/>
      <c r="D60" s="61"/>
      <c r="E60" s="65" t="s">
        <v>106</v>
      </c>
      <c r="F60" s="61"/>
      <c r="G60" s="91"/>
      <c r="H60" s="13"/>
      <c r="I60" s="20"/>
      <c r="J60" s="20"/>
      <c r="K60" s="1"/>
      <c r="L60" s="16"/>
    </row>
    <row r="61" spans="1:12" s="15" customFormat="1" ht="47.25" customHeight="1" outlineLevel="1">
      <c r="A61" s="2"/>
      <c r="B61" s="219" t="s">
        <v>107</v>
      </c>
      <c r="C61" s="60">
        <v>87700</v>
      </c>
      <c r="D61" s="57" t="s">
        <v>14</v>
      </c>
      <c r="E61" s="58" t="s">
        <v>203</v>
      </c>
      <c r="F61" s="57" t="s">
        <v>15</v>
      </c>
      <c r="G61" s="86">
        <v>17</v>
      </c>
      <c r="H61" s="13">
        <v>56.5</v>
      </c>
      <c r="I61" s="20">
        <f t="shared" si="4"/>
        <v>70.625</v>
      </c>
      <c r="J61" s="20">
        <f t="shared" ref="J61:J62" si="12">I61*G61</f>
        <v>1200.625</v>
      </c>
      <c r="K61" s="1"/>
      <c r="L61" s="16"/>
    </row>
    <row r="62" spans="1:12" s="15" customFormat="1" ht="38.25" customHeight="1" outlineLevel="1">
      <c r="A62" s="2"/>
      <c r="B62" s="219" t="s">
        <v>108</v>
      </c>
      <c r="C62" s="60">
        <v>87247</v>
      </c>
      <c r="D62" s="57" t="s">
        <v>14</v>
      </c>
      <c r="E62" s="58" t="s">
        <v>204</v>
      </c>
      <c r="F62" s="57" t="s">
        <v>15</v>
      </c>
      <c r="G62" s="86">
        <f>G13</f>
        <v>264.11</v>
      </c>
      <c r="H62" s="13">
        <v>62.89</v>
      </c>
      <c r="I62" s="20">
        <f t="shared" si="4"/>
        <v>78.612499999999997</v>
      </c>
      <c r="J62" s="20">
        <f t="shared" si="12"/>
        <v>20762.347375000001</v>
      </c>
      <c r="K62" s="1"/>
      <c r="L62" s="16"/>
    </row>
    <row r="63" spans="1:12" ht="20.100000000000001" customHeight="1" thickBot="1">
      <c r="B63" s="215"/>
      <c r="C63" s="18"/>
      <c r="D63" s="18"/>
      <c r="E63" s="18"/>
      <c r="F63" s="18"/>
      <c r="G63" s="89"/>
      <c r="H63" s="19" t="s">
        <v>26</v>
      </c>
      <c r="I63" s="20"/>
      <c r="J63" s="216">
        <f>SUM(J60:J62)</f>
        <v>21962.972375000001</v>
      </c>
    </row>
    <row r="64" spans="1:12" ht="20.100000000000001" customHeight="1">
      <c r="B64" s="9">
        <v>10</v>
      </c>
      <c r="C64" s="38"/>
      <c r="D64" s="38"/>
      <c r="E64" s="39" t="s">
        <v>42</v>
      </c>
      <c r="F64" s="7"/>
      <c r="G64" s="90"/>
      <c r="H64" s="12"/>
      <c r="I64" s="46"/>
      <c r="J64" s="214"/>
    </row>
    <row r="65" spans="1:12" ht="17.25" customHeight="1" outlineLevel="1">
      <c r="B65" s="118" t="s">
        <v>22</v>
      </c>
      <c r="C65" s="60">
        <v>88497</v>
      </c>
      <c r="D65" s="57" t="s">
        <v>14</v>
      </c>
      <c r="E65" s="58" t="s">
        <v>77</v>
      </c>
      <c r="F65" s="57" t="s">
        <v>15</v>
      </c>
      <c r="G65" s="96">
        <f>(14+14.4+14.4+14+15.68+39+45+15.8+13+17.5+23.7+12+9+15)*3</f>
        <v>787.44</v>
      </c>
      <c r="H65" s="29">
        <v>13.87</v>
      </c>
      <c r="I65" s="20">
        <f t="shared" ref="I65:I112" si="13">H65*(1+$J$5)</f>
        <v>17.337499999999999</v>
      </c>
      <c r="J65" s="20">
        <f>I65*G65</f>
        <v>13652.241</v>
      </c>
      <c r="K65" s="28"/>
    </row>
    <row r="66" spans="1:12" ht="17.25" customHeight="1" outlineLevel="1">
      <c r="B66" s="118" t="s">
        <v>23</v>
      </c>
      <c r="C66" s="60">
        <v>88489</v>
      </c>
      <c r="D66" s="57" t="s">
        <v>14</v>
      </c>
      <c r="E66" s="58" t="s">
        <v>46</v>
      </c>
      <c r="F66" s="57" t="s">
        <v>15</v>
      </c>
      <c r="G66" s="96">
        <f>G65</f>
        <v>787.44</v>
      </c>
      <c r="H66" s="13">
        <v>14.78</v>
      </c>
      <c r="I66" s="20">
        <f t="shared" si="13"/>
        <v>18.474999999999998</v>
      </c>
      <c r="J66" s="20">
        <f>I66*G66</f>
        <v>14547.954</v>
      </c>
      <c r="K66" s="28"/>
    </row>
    <row r="67" spans="1:12" ht="30.6" customHeight="1" outlineLevel="1">
      <c r="B67" s="118" t="s">
        <v>289</v>
      </c>
      <c r="C67" s="60">
        <v>100760</v>
      </c>
      <c r="D67" s="57" t="s">
        <v>14</v>
      </c>
      <c r="E67" s="59" t="s">
        <v>109</v>
      </c>
      <c r="F67" s="57" t="s">
        <v>15</v>
      </c>
      <c r="G67" s="86">
        <f>3*9</f>
        <v>27</v>
      </c>
      <c r="H67" s="13">
        <v>41.19</v>
      </c>
      <c r="I67" s="20">
        <f t="shared" si="13"/>
        <v>51.487499999999997</v>
      </c>
      <c r="J67" s="20">
        <f t="shared" ref="J67" si="14">I67*G67</f>
        <v>1390.1624999999999</v>
      </c>
    </row>
    <row r="68" spans="1:12" ht="20.100000000000001" customHeight="1" thickBot="1">
      <c r="B68" s="231"/>
      <c r="C68" s="41"/>
      <c r="D68" s="41"/>
      <c r="E68" s="41"/>
      <c r="F68" s="41"/>
      <c r="G68" s="98"/>
      <c r="H68" s="37" t="s">
        <v>26</v>
      </c>
      <c r="I68" s="20"/>
      <c r="J68" s="232">
        <f>SUM(J65:J67)</f>
        <v>29590.357499999998</v>
      </c>
    </row>
    <row r="69" spans="1:12" ht="20.100000000000001" customHeight="1">
      <c r="B69" s="38">
        <v>11</v>
      </c>
      <c r="C69" s="38"/>
      <c r="D69" s="38"/>
      <c r="E69" s="39" t="s">
        <v>44</v>
      </c>
      <c r="F69" s="39"/>
      <c r="G69" s="99"/>
      <c r="H69" s="40"/>
      <c r="I69" s="46"/>
      <c r="J69" s="233"/>
    </row>
    <row r="70" spans="1:12" s="15" customFormat="1" ht="26.25" customHeight="1" outlineLevel="1">
      <c r="A70" s="2"/>
      <c r="B70" s="234" t="s">
        <v>0</v>
      </c>
      <c r="C70" s="70"/>
      <c r="D70" s="70"/>
      <c r="E70" s="71" t="s">
        <v>110</v>
      </c>
      <c r="F70" s="70"/>
      <c r="G70" s="100"/>
      <c r="H70" s="13"/>
      <c r="I70" s="20"/>
      <c r="J70" s="20"/>
      <c r="K70" s="1"/>
      <c r="L70" s="16"/>
    </row>
    <row r="71" spans="1:12" s="15" customFormat="1" ht="34.5" customHeight="1" outlineLevel="1">
      <c r="A71" s="2"/>
      <c r="B71" s="234" t="s">
        <v>169</v>
      </c>
      <c r="C71" s="66">
        <v>89401</v>
      </c>
      <c r="D71" s="67" t="s">
        <v>14</v>
      </c>
      <c r="E71" s="68" t="s">
        <v>111</v>
      </c>
      <c r="F71" s="67" t="s">
        <v>19</v>
      </c>
      <c r="G71" s="101">
        <v>30</v>
      </c>
      <c r="H71" s="13">
        <v>9.7100000000000009</v>
      </c>
      <c r="I71" s="20">
        <f t="shared" si="13"/>
        <v>12.137500000000001</v>
      </c>
      <c r="J71" s="20">
        <f t="shared" ref="J71:J82" si="15">I71*G71</f>
        <v>364.12500000000006</v>
      </c>
      <c r="K71" s="1"/>
      <c r="L71" s="16"/>
    </row>
    <row r="72" spans="1:12" s="15" customFormat="1" ht="39" customHeight="1" outlineLevel="1">
      <c r="A72" s="2"/>
      <c r="B72" s="234" t="s">
        <v>170</v>
      </c>
      <c r="C72" s="66">
        <v>89404</v>
      </c>
      <c r="D72" s="67" t="s">
        <v>14</v>
      </c>
      <c r="E72" s="69" t="s">
        <v>205</v>
      </c>
      <c r="F72" s="67" t="s">
        <v>10</v>
      </c>
      <c r="G72" s="101">
        <v>7</v>
      </c>
      <c r="H72" s="13">
        <v>6.28</v>
      </c>
      <c r="I72" s="20">
        <f t="shared" si="13"/>
        <v>7.8500000000000005</v>
      </c>
      <c r="J72" s="20">
        <f t="shared" si="15"/>
        <v>54.95</v>
      </c>
      <c r="K72" s="1"/>
      <c r="L72" s="16"/>
    </row>
    <row r="73" spans="1:12" s="15" customFormat="1" ht="33.75" customHeight="1" outlineLevel="1">
      <c r="A73" s="2"/>
      <c r="B73" s="234" t="s">
        <v>171</v>
      </c>
      <c r="C73" s="66">
        <v>89438</v>
      </c>
      <c r="D73" s="67" t="s">
        <v>14</v>
      </c>
      <c r="E73" s="69" t="s">
        <v>112</v>
      </c>
      <c r="F73" s="67" t="s">
        <v>10</v>
      </c>
      <c r="G73" s="101">
        <v>4</v>
      </c>
      <c r="H73" s="13">
        <v>8.82</v>
      </c>
      <c r="I73" s="20">
        <f t="shared" si="13"/>
        <v>11.025</v>
      </c>
      <c r="J73" s="20">
        <f t="shared" si="15"/>
        <v>44.1</v>
      </c>
      <c r="K73" s="1"/>
      <c r="L73" s="16"/>
    </row>
    <row r="74" spans="1:12" s="15" customFormat="1" ht="32.25" customHeight="1" outlineLevel="1">
      <c r="A74" s="2"/>
      <c r="B74" s="234" t="s">
        <v>172</v>
      </c>
      <c r="C74" s="66">
        <v>818</v>
      </c>
      <c r="D74" s="67" t="s">
        <v>45</v>
      </c>
      <c r="E74" s="69" t="s">
        <v>113</v>
      </c>
      <c r="F74" s="67" t="s">
        <v>10</v>
      </c>
      <c r="G74" s="101">
        <v>1</v>
      </c>
      <c r="H74" s="13">
        <v>348.83</v>
      </c>
      <c r="I74" s="20">
        <f t="shared" si="13"/>
        <v>436.03749999999997</v>
      </c>
      <c r="J74" s="20">
        <f t="shared" si="15"/>
        <v>436.03749999999997</v>
      </c>
      <c r="K74" s="1"/>
      <c r="L74" s="16"/>
    </row>
    <row r="75" spans="1:12" s="15" customFormat="1" ht="19.5" customHeight="1" outlineLevel="1">
      <c r="A75" s="2"/>
      <c r="B75" s="234" t="s">
        <v>173</v>
      </c>
      <c r="C75" s="66">
        <v>1028</v>
      </c>
      <c r="D75" s="67" t="s">
        <v>45</v>
      </c>
      <c r="E75" s="69" t="s">
        <v>114</v>
      </c>
      <c r="F75" s="67" t="s">
        <v>19</v>
      </c>
      <c r="G75" s="101">
        <v>20</v>
      </c>
      <c r="H75" s="13">
        <v>13.78</v>
      </c>
      <c r="I75" s="20">
        <f t="shared" si="13"/>
        <v>17.224999999999998</v>
      </c>
      <c r="J75" s="20">
        <f t="shared" si="15"/>
        <v>344.49999999999994</v>
      </c>
      <c r="K75" s="1"/>
      <c r="L75" s="16"/>
    </row>
    <row r="76" spans="1:12" s="15" customFormat="1" ht="33.75" customHeight="1" outlineLevel="1">
      <c r="A76" s="2"/>
      <c r="B76" s="234" t="s">
        <v>174</v>
      </c>
      <c r="C76" s="66">
        <v>89408</v>
      </c>
      <c r="D76" s="67" t="s">
        <v>14</v>
      </c>
      <c r="E76" s="69" t="s">
        <v>115</v>
      </c>
      <c r="F76" s="67" t="s">
        <v>10</v>
      </c>
      <c r="G76" s="101">
        <v>4</v>
      </c>
      <c r="H76" s="13">
        <v>7.59</v>
      </c>
      <c r="I76" s="20">
        <f t="shared" si="13"/>
        <v>9.4875000000000007</v>
      </c>
      <c r="J76" s="20">
        <f t="shared" si="15"/>
        <v>37.950000000000003</v>
      </c>
      <c r="K76" s="1"/>
      <c r="L76" s="16"/>
    </row>
    <row r="77" spans="1:12" s="15" customFormat="1" ht="31.5" customHeight="1" outlineLevel="1">
      <c r="A77" s="2"/>
      <c r="B77" s="234" t="s">
        <v>175</v>
      </c>
      <c r="C77" s="66">
        <v>94783</v>
      </c>
      <c r="D77" s="67" t="s">
        <v>14</v>
      </c>
      <c r="E77" s="69" t="s">
        <v>206</v>
      </c>
      <c r="F77" s="67" t="s">
        <v>10</v>
      </c>
      <c r="G77" s="101">
        <v>2</v>
      </c>
      <c r="H77" s="13">
        <v>19.899999999999999</v>
      </c>
      <c r="I77" s="20">
        <f t="shared" si="13"/>
        <v>24.875</v>
      </c>
      <c r="J77" s="20">
        <f t="shared" si="15"/>
        <v>49.75</v>
      </c>
      <c r="K77" s="1"/>
      <c r="L77" s="16"/>
    </row>
    <row r="78" spans="1:12" s="15" customFormat="1" ht="32.25" customHeight="1" outlineLevel="1">
      <c r="A78" s="2"/>
      <c r="B78" s="234" t="s">
        <v>176</v>
      </c>
      <c r="C78" s="66">
        <v>94703</v>
      </c>
      <c r="D78" s="67" t="s">
        <v>14</v>
      </c>
      <c r="E78" s="69" t="s">
        <v>207</v>
      </c>
      <c r="F78" s="67" t="s">
        <v>10</v>
      </c>
      <c r="G78" s="101">
        <v>1</v>
      </c>
      <c r="H78" s="13">
        <v>21.79</v>
      </c>
      <c r="I78" s="20">
        <f t="shared" si="13"/>
        <v>27.237499999999997</v>
      </c>
      <c r="J78" s="20">
        <f t="shared" si="15"/>
        <v>27.237499999999997</v>
      </c>
      <c r="K78" s="1"/>
      <c r="L78" s="16"/>
    </row>
    <row r="79" spans="1:12" s="15" customFormat="1" ht="27" customHeight="1" outlineLevel="1">
      <c r="A79" s="2"/>
      <c r="B79" s="234" t="s">
        <v>28</v>
      </c>
      <c r="C79" s="70"/>
      <c r="D79" s="70"/>
      <c r="E79" s="71" t="s">
        <v>116</v>
      </c>
      <c r="F79" s="70"/>
      <c r="G79" s="100"/>
      <c r="H79" s="13"/>
      <c r="I79" s="20"/>
      <c r="J79" s="20"/>
      <c r="K79" s="1"/>
      <c r="L79" s="16"/>
    </row>
    <row r="80" spans="1:12" s="15" customFormat="1" ht="27" customHeight="1" outlineLevel="1">
      <c r="A80" s="2"/>
      <c r="B80" s="234" t="s">
        <v>177</v>
      </c>
      <c r="C80" s="66">
        <v>89353</v>
      </c>
      <c r="D80" s="67" t="s">
        <v>14</v>
      </c>
      <c r="E80" s="69" t="s">
        <v>117</v>
      </c>
      <c r="F80" s="67" t="s">
        <v>10</v>
      </c>
      <c r="G80" s="101">
        <v>2</v>
      </c>
      <c r="H80" s="13">
        <v>37.46</v>
      </c>
      <c r="I80" s="20">
        <f t="shared" si="13"/>
        <v>46.825000000000003</v>
      </c>
      <c r="J80" s="20">
        <f>I80*G80</f>
        <v>93.65</v>
      </c>
      <c r="K80" s="1"/>
      <c r="L80" s="16"/>
    </row>
    <row r="81" spans="1:12" ht="27.75" customHeight="1" outlineLevel="1">
      <c r="B81" s="234" t="s">
        <v>290</v>
      </c>
      <c r="C81" s="66">
        <v>102622</v>
      </c>
      <c r="D81" s="67" t="s">
        <v>14</v>
      </c>
      <c r="E81" s="69" t="s">
        <v>118</v>
      </c>
      <c r="F81" s="67" t="s">
        <v>10</v>
      </c>
      <c r="G81" s="101">
        <v>1</v>
      </c>
      <c r="H81" s="13">
        <v>585.14</v>
      </c>
      <c r="I81" s="20">
        <f t="shared" si="13"/>
        <v>731.42499999999995</v>
      </c>
      <c r="J81" s="20">
        <f t="shared" si="15"/>
        <v>731.42499999999995</v>
      </c>
    </row>
    <row r="82" spans="1:12" ht="18" customHeight="1" outlineLevel="1">
      <c r="B82" s="234" t="s">
        <v>178</v>
      </c>
      <c r="C82" s="66">
        <v>102116</v>
      </c>
      <c r="D82" s="67" t="s">
        <v>14</v>
      </c>
      <c r="E82" s="69" t="s">
        <v>119</v>
      </c>
      <c r="F82" s="67" t="s">
        <v>10</v>
      </c>
      <c r="G82" s="101">
        <v>1</v>
      </c>
      <c r="H82" s="13">
        <v>1726.71</v>
      </c>
      <c r="I82" s="20">
        <f t="shared" si="13"/>
        <v>2158.3874999999998</v>
      </c>
      <c r="J82" s="20">
        <f t="shared" si="15"/>
        <v>2158.3874999999998</v>
      </c>
    </row>
    <row r="83" spans="1:12" s="15" customFormat="1" ht="20.100000000000001" customHeight="1" thickBot="1">
      <c r="A83" s="2"/>
      <c r="B83" s="215"/>
      <c r="C83" s="18"/>
      <c r="D83" s="18"/>
      <c r="E83" s="18"/>
      <c r="F83" s="18"/>
      <c r="G83" s="89"/>
      <c r="H83" s="19" t="s">
        <v>26</v>
      </c>
      <c r="I83" s="20"/>
      <c r="J83" s="235">
        <f>SUM(J71:J82)</f>
        <v>4342.1125000000002</v>
      </c>
      <c r="K83" s="1"/>
      <c r="L83" s="16"/>
    </row>
    <row r="84" spans="1:12" s="15" customFormat="1" ht="20.100000000000001" customHeight="1">
      <c r="A84" s="2"/>
      <c r="B84" s="213">
        <v>12</v>
      </c>
      <c r="C84" s="30"/>
      <c r="D84" s="30"/>
      <c r="E84" s="32" t="s">
        <v>59</v>
      </c>
      <c r="F84" s="30"/>
      <c r="G84" s="102"/>
      <c r="H84" s="31"/>
      <c r="I84" s="46"/>
      <c r="J84" s="31"/>
      <c r="K84" s="1"/>
      <c r="L84" s="16"/>
    </row>
    <row r="85" spans="1:12" s="15" customFormat="1" ht="29.25" customHeight="1" outlineLevel="1">
      <c r="A85" s="2"/>
      <c r="B85" s="118" t="s">
        <v>1</v>
      </c>
      <c r="C85" s="66">
        <v>1697</v>
      </c>
      <c r="D85" s="67" t="s">
        <v>45</v>
      </c>
      <c r="E85" s="69" t="s">
        <v>49</v>
      </c>
      <c r="F85" s="67" t="s">
        <v>10</v>
      </c>
      <c r="G85" s="101">
        <v>3</v>
      </c>
      <c r="H85" s="13">
        <v>41.81</v>
      </c>
      <c r="I85" s="20">
        <f t="shared" si="13"/>
        <v>52.262500000000003</v>
      </c>
      <c r="J85" s="29">
        <f>I85*G85</f>
        <v>156.78750000000002</v>
      </c>
      <c r="K85" s="1"/>
      <c r="L85" s="16"/>
    </row>
    <row r="86" spans="1:12" s="15" customFormat="1" ht="29.25" customHeight="1" outlineLevel="1">
      <c r="A86" s="2"/>
      <c r="B86" s="118" t="s">
        <v>2</v>
      </c>
      <c r="C86" s="66">
        <v>89712</v>
      </c>
      <c r="D86" s="67" t="s">
        <v>14</v>
      </c>
      <c r="E86" s="69" t="s">
        <v>120</v>
      </c>
      <c r="F86" s="67" t="s">
        <v>19</v>
      </c>
      <c r="G86" s="101">
        <v>12</v>
      </c>
      <c r="H86" s="29">
        <v>25.45</v>
      </c>
      <c r="I86" s="20">
        <f t="shared" si="13"/>
        <v>31.8125</v>
      </c>
      <c r="J86" s="29">
        <f t="shared" ref="J86:J96" si="16">I86*G86</f>
        <v>381.75</v>
      </c>
      <c r="K86" s="1"/>
      <c r="L86" s="16"/>
    </row>
    <row r="87" spans="1:12" s="15" customFormat="1" ht="29.25" customHeight="1" outlineLevel="1">
      <c r="A87" s="2"/>
      <c r="B87" s="118" t="s">
        <v>85</v>
      </c>
      <c r="C87" s="66">
        <v>89714</v>
      </c>
      <c r="D87" s="67" t="s">
        <v>14</v>
      </c>
      <c r="E87" s="69" t="s">
        <v>121</v>
      </c>
      <c r="F87" s="67" t="s">
        <v>19</v>
      </c>
      <c r="G87" s="101">
        <v>20</v>
      </c>
      <c r="H87" s="29">
        <v>41.64</v>
      </c>
      <c r="I87" s="20">
        <f t="shared" si="13"/>
        <v>52.05</v>
      </c>
      <c r="J87" s="29">
        <f t="shared" si="16"/>
        <v>1041</v>
      </c>
      <c r="K87" s="1"/>
      <c r="L87" s="16"/>
    </row>
    <row r="88" spans="1:12" s="15" customFormat="1" ht="29.25" customHeight="1" outlineLevel="1">
      <c r="A88" s="2"/>
      <c r="B88" s="118" t="s">
        <v>86</v>
      </c>
      <c r="C88" s="66">
        <v>89731</v>
      </c>
      <c r="D88" s="67" t="s">
        <v>14</v>
      </c>
      <c r="E88" s="69" t="s">
        <v>75</v>
      </c>
      <c r="F88" s="67" t="s">
        <v>10</v>
      </c>
      <c r="G88" s="101">
        <v>2</v>
      </c>
      <c r="H88" s="29">
        <v>13.7</v>
      </c>
      <c r="I88" s="20">
        <f t="shared" si="13"/>
        <v>17.125</v>
      </c>
      <c r="J88" s="29">
        <f t="shared" si="16"/>
        <v>34.25</v>
      </c>
      <c r="K88" s="1"/>
      <c r="L88" s="16"/>
    </row>
    <row r="89" spans="1:12" s="15" customFormat="1" ht="29.25" customHeight="1" outlineLevel="1">
      <c r="A89" s="2"/>
      <c r="B89" s="118" t="s">
        <v>87</v>
      </c>
      <c r="C89" s="66">
        <v>89744</v>
      </c>
      <c r="D89" s="67" t="s">
        <v>14</v>
      </c>
      <c r="E89" s="69" t="s">
        <v>122</v>
      </c>
      <c r="F89" s="67" t="s">
        <v>10</v>
      </c>
      <c r="G89" s="101">
        <v>5</v>
      </c>
      <c r="H89" s="29">
        <v>27.04</v>
      </c>
      <c r="I89" s="20">
        <f t="shared" si="13"/>
        <v>33.799999999999997</v>
      </c>
      <c r="J89" s="29">
        <f t="shared" si="16"/>
        <v>169</v>
      </c>
      <c r="K89" s="1"/>
      <c r="L89" s="16"/>
    </row>
    <row r="90" spans="1:12" s="15" customFormat="1" ht="29.25" customHeight="1" outlineLevel="1">
      <c r="A90" s="2"/>
      <c r="B90" s="118" t="s">
        <v>130</v>
      </c>
      <c r="C90" s="66">
        <v>180252</v>
      </c>
      <c r="D90" s="67" t="s">
        <v>68</v>
      </c>
      <c r="E90" s="69" t="s">
        <v>123</v>
      </c>
      <c r="F90" s="67" t="s">
        <v>10</v>
      </c>
      <c r="G90" s="101">
        <v>2</v>
      </c>
      <c r="H90" s="13">
        <v>40.159999999999997</v>
      </c>
      <c r="I90" s="20">
        <f t="shared" si="13"/>
        <v>50.199999999999996</v>
      </c>
      <c r="J90" s="29">
        <f t="shared" si="16"/>
        <v>100.39999999999999</v>
      </c>
      <c r="K90" s="1"/>
      <c r="L90" s="16"/>
    </row>
    <row r="91" spans="1:12" s="15" customFormat="1" ht="29.25" customHeight="1" outlineLevel="1">
      <c r="A91" s="2"/>
      <c r="B91" s="118" t="s">
        <v>291</v>
      </c>
      <c r="C91" s="66">
        <v>1666</v>
      </c>
      <c r="D91" s="67" t="s">
        <v>45</v>
      </c>
      <c r="E91" s="69" t="s">
        <v>124</v>
      </c>
      <c r="F91" s="67" t="s">
        <v>10</v>
      </c>
      <c r="G91" s="101">
        <v>1</v>
      </c>
      <c r="H91" s="13">
        <v>11.89</v>
      </c>
      <c r="I91" s="20">
        <f t="shared" si="13"/>
        <v>14.862500000000001</v>
      </c>
      <c r="J91" s="29">
        <f t="shared" si="16"/>
        <v>14.862500000000001</v>
      </c>
      <c r="K91" s="1"/>
      <c r="L91" s="16"/>
    </row>
    <row r="92" spans="1:12" s="15" customFormat="1" ht="29.25" customHeight="1" outlineLevel="1">
      <c r="A92" s="2"/>
      <c r="B92" s="118" t="s">
        <v>131</v>
      </c>
      <c r="C92" s="66">
        <v>89710</v>
      </c>
      <c r="D92" s="67" t="s">
        <v>14</v>
      </c>
      <c r="E92" s="69" t="s">
        <v>125</v>
      </c>
      <c r="F92" s="67" t="s">
        <v>10</v>
      </c>
      <c r="G92" s="101">
        <v>4</v>
      </c>
      <c r="H92" s="13">
        <v>16.739999999999998</v>
      </c>
      <c r="I92" s="20">
        <f t="shared" si="13"/>
        <v>20.924999999999997</v>
      </c>
      <c r="J92" s="29">
        <f t="shared" si="16"/>
        <v>83.699999999999989</v>
      </c>
      <c r="K92" s="1"/>
      <c r="L92" s="16"/>
    </row>
    <row r="93" spans="1:12" s="15" customFormat="1" ht="29.25" customHeight="1" outlineLevel="1">
      <c r="A93" s="2"/>
      <c r="B93" s="118" t="s">
        <v>132</v>
      </c>
      <c r="C93" s="66">
        <v>98102</v>
      </c>
      <c r="D93" s="67" t="s">
        <v>14</v>
      </c>
      <c r="E93" s="69" t="s">
        <v>126</v>
      </c>
      <c r="F93" s="67" t="s">
        <v>10</v>
      </c>
      <c r="G93" s="101">
        <v>1</v>
      </c>
      <c r="H93" s="29">
        <v>164.32</v>
      </c>
      <c r="I93" s="20">
        <f t="shared" si="13"/>
        <v>205.39999999999998</v>
      </c>
      <c r="J93" s="29">
        <f t="shared" si="16"/>
        <v>205.39999999999998</v>
      </c>
      <c r="K93" s="1"/>
      <c r="L93" s="16"/>
    </row>
    <row r="94" spans="1:12" s="15" customFormat="1" ht="29.25" customHeight="1" outlineLevel="1">
      <c r="A94" s="2"/>
      <c r="B94" s="118" t="s">
        <v>133</v>
      </c>
      <c r="C94" s="66">
        <v>97895</v>
      </c>
      <c r="D94" s="67" t="s">
        <v>14</v>
      </c>
      <c r="E94" s="69" t="s">
        <v>127</v>
      </c>
      <c r="F94" s="67" t="s">
        <v>10</v>
      </c>
      <c r="G94" s="101">
        <v>4</v>
      </c>
      <c r="H94" s="29">
        <v>173</v>
      </c>
      <c r="I94" s="20">
        <f t="shared" si="13"/>
        <v>216.25</v>
      </c>
      <c r="J94" s="29">
        <f t="shared" si="16"/>
        <v>865</v>
      </c>
      <c r="K94" s="1"/>
      <c r="L94" s="16"/>
    </row>
    <row r="95" spans="1:12" s="15" customFormat="1" ht="20.100000000000001" customHeight="1" outlineLevel="1">
      <c r="A95" s="2"/>
      <c r="B95" s="118" t="s">
        <v>134</v>
      </c>
      <c r="C95" s="66">
        <v>1714</v>
      </c>
      <c r="D95" s="67" t="s">
        <v>45</v>
      </c>
      <c r="E95" s="69" t="s">
        <v>128</v>
      </c>
      <c r="F95" s="67" t="s">
        <v>10</v>
      </c>
      <c r="G95" s="101">
        <v>1</v>
      </c>
      <c r="H95" s="13">
        <v>2013.97</v>
      </c>
      <c r="I95" s="20">
        <f t="shared" si="13"/>
        <v>2517.4625000000001</v>
      </c>
      <c r="J95" s="29">
        <f>I95*G95</f>
        <v>2517.4625000000001</v>
      </c>
      <c r="K95" s="1"/>
      <c r="L95" s="16"/>
    </row>
    <row r="96" spans="1:12" s="15" customFormat="1" ht="28.15" customHeight="1" outlineLevel="1">
      <c r="A96" s="2"/>
      <c r="B96" s="118" t="s">
        <v>292</v>
      </c>
      <c r="C96" s="66">
        <v>1727</v>
      </c>
      <c r="D96" s="67" t="s">
        <v>45</v>
      </c>
      <c r="E96" s="69" t="s">
        <v>129</v>
      </c>
      <c r="F96" s="67" t="s">
        <v>10</v>
      </c>
      <c r="G96" s="101">
        <v>1</v>
      </c>
      <c r="H96" s="13">
        <v>1741.23</v>
      </c>
      <c r="I96" s="20">
        <f t="shared" si="13"/>
        <v>2176.5374999999999</v>
      </c>
      <c r="J96" s="29">
        <f t="shared" si="16"/>
        <v>2176.5374999999999</v>
      </c>
      <c r="K96" s="1"/>
      <c r="L96" s="16"/>
    </row>
    <row r="97" spans="1:12" s="15" customFormat="1" ht="20.100000000000001" customHeight="1" thickBot="1">
      <c r="A97" s="2"/>
      <c r="B97" s="236"/>
      <c r="C97" s="35"/>
      <c r="D97" s="35"/>
      <c r="E97" s="36"/>
      <c r="F97" s="35"/>
      <c r="G97" s="103"/>
      <c r="H97" s="37" t="s">
        <v>26</v>
      </c>
      <c r="I97" s="20"/>
      <c r="J97" s="235">
        <f>SUM(J85:J96)</f>
        <v>7746.15</v>
      </c>
      <c r="K97" s="1"/>
      <c r="L97" s="16"/>
    </row>
    <row r="98" spans="1:12" s="15" customFormat="1" ht="20.100000000000001" customHeight="1">
      <c r="A98" s="2"/>
      <c r="B98" s="24">
        <v>13</v>
      </c>
      <c r="C98" s="24"/>
      <c r="D98" s="24"/>
      <c r="E98" s="25" t="s">
        <v>66</v>
      </c>
      <c r="F98" s="26"/>
      <c r="G98" s="104"/>
      <c r="H98" s="27"/>
      <c r="I98" s="46"/>
      <c r="J98" s="46"/>
      <c r="K98" s="1"/>
      <c r="L98" s="16"/>
    </row>
    <row r="99" spans="1:12" s="15" customFormat="1" ht="34.15" customHeight="1" outlineLevel="1">
      <c r="A99" s="2"/>
      <c r="B99" s="118" t="s">
        <v>6</v>
      </c>
      <c r="C99" s="66">
        <v>86931</v>
      </c>
      <c r="D99" s="67" t="s">
        <v>14</v>
      </c>
      <c r="E99" s="73" t="s">
        <v>138</v>
      </c>
      <c r="F99" s="67" t="s">
        <v>10</v>
      </c>
      <c r="G99" s="101">
        <v>1</v>
      </c>
      <c r="H99" s="72">
        <v>449.31</v>
      </c>
      <c r="I99" s="20">
        <f t="shared" si="13"/>
        <v>561.63750000000005</v>
      </c>
      <c r="J99" s="29">
        <f>I99*G99</f>
        <v>561.63750000000005</v>
      </c>
      <c r="K99" s="1"/>
      <c r="L99" s="16"/>
    </row>
    <row r="100" spans="1:12" s="15" customFormat="1" ht="34.15" customHeight="1" outlineLevel="1">
      <c r="A100" s="2"/>
      <c r="B100" s="118" t="s">
        <v>3</v>
      </c>
      <c r="C100" s="66">
        <v>86884</v>
      </c>
      <c r="D100" s="67" t="s">
        <v>14</v>
      </c>
      <c r="E100" s="74" t="s">
        <v>139</v>
      </c>
      <c r="F100" s="67" t="s">
        <v>10</v>
      </c>
      <c r="G100" s="101">
        <v>8</v>
      </c>
      <c r="H100" s="72">
        <v>10.34</v>
      </c>
      <c r="I100" s="20">
        <f t="shared" si="13"/>
        <v>12.925000000000001</v>
      </c>
      <c r="J100" s="29">
        <f t="shared" ref="J100:J105" si="17">I100*G100</f>
        <v>103.4</v>
      </c>
      <c r="K100" s="1"/>
      <c r="L100" s="16"/>
    </row>
    <row r="101" spans="1:12" s="15" customFormat="1" ht="34.15" customHeight="1" outlineLevel="1">
      <c r="A101" s="2"/>
      <c r="B101" s="118" t="s">
        <v>293</v>
      </c>
      <c r="C101" s="66">
        <v>95544</v>
      </c>
      <c r="D101" s="67" t="s">
        <v>14</v>
      </c>
      <c r="E101" s="74" t="s">
        <v>140</v>
      </c>
      <c r="F101" s="67" t="s">
        <v>10</v>
      </c>
      <c r="G101" s="101">
        <v>5</v>
      </c>
      <c r="H101" s="13">
        <v>39.93</v>
      </c>
      <c r="I101" s="20">
        <f t="shared" si="13"/>
        <v>49.912500000000001</v>
      </c>
      <c r="J101" s="29">
        <f t="shared" si="17"/>
        <v>249.5625</v>
      </c>
      <c r="K101" s="1"/>
      <c r="L101" s="16"/>
    </row>
    <row r="102" spans="1:12" s="15" customFormat="1" ht="34.15" customHeight="1" outlineLevel="1">
      <c r="A102" s="2"/>
      <c r="B102" s="118" t="s">
        <v>294</v>
      </c>
      <c r="C102" s="66">
        <v>95543</v>
      </c>
      <c r="D102" s="67" t="s">
        <v>14</v>
      </c>
      <c r="E102" s="74" t="s">
        <v>141</v>
      </c>
      <c r="F102" s="67" t="s">
        <v>10</v>
      </c>
      <c r="G102" s="101">
        <v>4</v>
      </c>
      <c r="H102" s="13">
        <v>54.93</v>
      </c>
      <c r="I102" s="20">
        <f t="shared" si="13"/>
        <v>68.662499999999994</v>
      </c>
      <c r="J102" s="29">
        <f t="shared" si="17"/>
        <v>274.64999999999998</v>
      </c>
      <c r="K102" s="1"/>
      <c r="L102" s="16"/>
    </row>
    <row r="103" spans="1:12" s="15" customFormat="1" ht="34.15" customHeight="1" outlineLevel="1">
      <c r="A103" s="2"/>
      <c r="B103" s="118" t="s">
        <v>70</v>
      </c>
      <c r="C103" s="66">
        <v>95545</v>
      </c>
      <c r="D103" s="67" t="s">
        <v>14</v>
      </c>
      <c r="E103" s="75" t="s">
        <v>135</v>
      </c>
      <c r="F103" s="67" t="s">
        <v>10</v>
      </c>
      <c r="G103" s="101">
        <v>2</v>
      </c>
      <c r="H103" s="72">
        <v>39.159999999999997</v>
      </c>
      <c r="I103" s="20">
        <f t="shared" si="13"/>
        <v>48.949999999999996</v>
      </c>
      <c r="J103" s="29">
        <f t="shared" si="17"/>
        <v>97.899999999999991</v>
      </c>
      <c r="K103" s="1"/>
      <c r="L103" s="16"/>
    </row>
    <row r="104" spans="1:12" s="15" customFormat="1" ht="34.15" customHeight="1" outlineLevel="1">
      <c r="A104" s="2"/>
      <c r="B104" s="118" t="s">
        <v>71</v>
      </c>
      <c r="C104" s="66">
        <v>100866</v>
      </c>
      <c r="D104" s="67" t="s">
        <v>14</v>
      </c>
      <c r="E104" s="75" t="s">
        <v>136</v>
      </c>
      <c r="F104" s="67" t="s">
        <v>10</v>
      </c>
      <c r="G104" s="101">
        <v>4</v>
      </c>
      <c r="H104" s="72">
        <v>301.35000000000002</v>
      </c>
      <c r="I104" s="20">
        <f t="shared" si="13"/>
        <v>376.6875</v>
      </c>
      <c r="J104" s="29">
        <f t="shared" si="17"/>
        <v>1506.75</v>
      </c>
      <c r="K104" s="1"/>
      <c r="L104" s="16"/>
    </row>
    <row r="105" spans="1:12" s="15" customFormat="1" ht="34.15" customHeight="1" outlineLevel="1">
      <c r="A105" s="2"/>
      <c r="B105" s="118" t="s">
        <v>72</v>
      </c>
      <c r="C105" s="66">
        <v>2066</v>
      </c>
      <c r="D105" s="67" t="s">
        <v>45</v>
      </c>
      <c r="E105" s="76" t="s">
        <v>137</v>
      </c>
      <c r="F105" s="67" t="s">
        <v>10</v>
      </c>
      <c r="G105" s="101">
        <v>4</v>
      </c>
      <c r="H105" s="13">
        <v>51.82</v>
      </c>
      <c r="I105" s="20">
        <f t="shared" si="13"/>
        <v>64.775000000000006</v>
      </c>
      <c r="J105" s="29">
        <f t="shared" si="17"/>
        <v>259.10000000000002</v>
      </c>
      <c r="K105" s="1"/>
      <c r="L105" s="16"/>
    </row>
    <row r="106" spans="1:12" s="15" customFormat="1" ht="20.100000000000001" customHeight="1" thickBot="1">
      <c r="A106" s="2"/>
      <c r="B106" s="236"/>
      <c r="C106" s="35"/>
      <c r="D106" s="35"/>
      <c r="E106" s="36"/>
      <c r="F106" s="35"/>
      <c r="G106" s="103"/>
      <c r="H106" s="37" t="s">
        <v>26</v>
      </c>
      <c r="I106" s="20"/>
      <c r="J106" s="235">
        <f>SUM(J99:J105)</f>
        <v>3053</v>
      </c>
      <c r="K106" s="1"/>
      <c r="L106" s="16"/>
    </row>
    <row r="107" spans="1:12" ht="20.100000000000001" customHeight="1">
      <c r="B107" s="24">
        <v>14</v>
      </c>
      <c r="C107" s="24"/>
      <c r="D107" s="24"/>
      <c r="E107" s="25" t="s">
        <v>48</v>
      </c>
      <c r="F107" s="26"/>
      <c r="G107" s="104"/>
      <c r="H107" s="27"/>
      <c r="I107" s="46"/>
      <c r="J107" s="46"/>
    </row>
    <row r="108" spans="1:12" ht="20.100000000000001" customHeight="1" outlineLevel="1">
      <c r="B108" s="5" t="s">
        <v>4</v>
      </c>
      <c r="C108" s="70"/>
      <c r="D108" s="70"/>
      <c r="E108" s="79" t="s">
        <v>142</v>
      </c>
      <c r="F108" s="70"/>
      <c r="G108" s="100"/>
      <c r="H108" s="70"/>
      <c r="I108" s="20"/>
      <c r="J108" s="20"/>
    </row>
    <row r="109" spans="1:12" ht="30" customHeight="1" outlineLevel="1">
      <c r="B109" s="5" t="s">
        <v>179</v>
      </c>
      <c r="C109" s="66">
        <v>170073</v>
      </c>
      <c r="D109" s="67" t="s">
        <v>68</v>
      </c>
      <c r="E109" s="75" t="s">
        <v>143</v>
      </c>
      <c r="F109" s="67" t="s">
        <v>10</v>
      </c>
      <c r="G109" s="101">
        <v>1</v>
      </c>
      <c r="H109" s="72">
        <v>548.12</v>
      </c>
      <c r="I109" s="20">
        <f t="shared" si="13"/>
        <v>685.15</v>
      </c>
      <c r="J109" s="20">
        <f>I109*G109</f>
        <v>685.15</v>
      </c>
    </row>
    <row r="110" spans="1:12" ht="33.75" customHeight="1" outlineLevel="1">
      <c r="B110" s="5" t="s">
        <v>180</v>
      </c>
      <c r="C110" s="66">
        <v>101881</v>
      </c>
      <c r="D110" s="67" t="s">
        <v>14</v>
      </c>
      <c r="E110" s="75" t="s">
        <v>223</v>
      </c>
      <c r="F110" s="67" t="s">
        <v>10</v>
      </c>
      <c r="G110" s="101">
        <v>1</v>
      </c>
      <c r="H110" s="72">
        <v>1027.78</v>
      </c>
      <c r="I110" s="20">
        <f t="shared" si="13"/>
        <v>1284.7249999999999</v>
      </c>
      <c r="J110" s="20">
        <f t="shared" ref="J110:J127" si="18">I110*G110</f>
        <v>1284.7249999999999</v>
      </c>
    </row>
    <row r="111" spans="1:12" ht="28.5" outlineLevel="1">
      <c r="B111" s="5" t="s">
        <v>181</v>
      </c>
      <c r="C111" s="66">
        <v>8416</v>
      </c>
      <c r="D111" s="67" t="s">
        <v>45</v>
      </c>
      <c r="E111" s="75" t="s">
        <v>50</v>
      </c>
      <c r="F111" s="67" t="s">
        <v>10</v>
      </c>
      <c r="G111" s="101">
        <f>17*2</f>
        <v>34</v>
      </c>
      <c r="H111" s="13">
        <v>19.18</v>
      </c>
      <c r="I111" s="20">
        <f t="shared" si="13"/>
        <v>23.975000000000001</v>
      </c>
      <c r="J111" s="20">
        <f t="shared" si="18"/>
        <v>815.15000000000009</v>
      </c>
    </row>
    <row r="112" spans="1:12" ht="28.5" outlineLevel="1">
      <c r="B112" s="5" t="s">
        <v>182</v>
      </c>
      <c r="C112" s="66">
        <v>9049</v>
      </c>
      <c r="D112" s="67" t="s">
        <v>45</v>
      </c>
      <c r="E112" s="75" t="s">
        <v>67</v>
      </c>
      <c r="F112" s="67" t="s">
        <v>10</v>
      </c>
      <c r="G112" s="101">
        <v>3</v>
      </c>
      <c r="H112" s="13">
        <v>27.68</v>
      </c>
      <c r="I112" s="20">
        <f t="shared" si="13"/>
        <v>34.6</v>
      </c>
      <c r="J112" s="20">
        <f t="shared" si="18"/>
        <v>103.80000000000001</v>
      </c>
    </row>
    <row r="113" spans="2:10" ht="15" outlineLevel="1">
      <c r="B113" s="5" t="s">
        <v>5</v>
      </c>
      <c r="C113" s="70"/>
      <c r="D113" s="70"/>
      <c r="E113" s="78" t="s">
        <v>144</v>
      </c>
      <c r="F113" s="70"/>
      <c r="G113" s="100"/>
      <c r="H113" s="70"/>
      <c r="I113" s="20"/>
      <c r="J113" s="20"/>
    </row>
    <row r="114" spans="2:10" ht="22.5" customHeight="1" outlineLevel="1">
      <c r="B114" s="5" t="s">
        <v>295</v>
      </c>
      <c r="C114" s="66">
        <v>91940</v>
      </c>
      <c r="D114" s="67" t="s">
        <v>14</v>
      </c>
      <c r="E114" s="75" t="s">
        <v>145</v>
      </c>
      <c r="F114" s="67" t="s">
        <v>10</v>
      </c>
      <c r="G114" s="101">
        <v>30</v>
      </c>
      <c r="H114" s="72">
        <v>14.07</v>
      </c>
      <c r="I114" s="20">
        <f t="shared" ref="I114:I133" si="19">H114*(1+$J$5)</f>
        <v>17.587499999999999</v>
      </c>
      <c r="J114" s="20">
        <f t="shared" si="18"/>
        <v>527.625</v>
      </c>
    </row>
    <row r="115" spans="2:10" ht="33.75" customHeight="1" outlineLevel="1">
      <c r="B115" s="5" t="s">
        <v>183</v>
      </c>
      <c r="C115" s="66">
        <v>91854</v>
      </c>
      <c r="D115" s="67" t="s">
        <v>14</v>
      </c>
      <c r="E115" s="74" t="s">
        <v>149</v>
      </c>
      <c r="F115" s="67" t="s">
        <v>19</v>
      </c>
      <c r="G115" s="101">
        <v>150</v>
      </c>
      <c r="H115" s="114">
        <v>9.1</v>
      </c>
      <c r="I115" s="20">
        <f t="shared" si="19"/>
        <v>11.375</v>
      </c>
      <c r="J115" s="20">
        <f t="shared" si="18"/>
        <v>1706.25</v>
      </c>
    </row>
    <row r="116" spans="2:10" ht="15" outlineLevel="1">
      <c r="B116" s="5" t="s">
        <v>29</v>
      </c>
      <c r="C116" s="70"/>
      <c r="D116" s="70"/>
      <c r="E116" s="78" t="s">
        <v>146</v>
      </c>
      <c r="F116" s="70"/>
      <c r="G116" s="100"/>
      <c r="H116" s="70"/>
      <c r="I116" s="20"/>
      <c r="J116" s="20"/>
    </row>
    <row r="117" spans="2:10" ht="35.25" customHeight="1" outlineLevel="1">
      <c r="B117" s="5" t="s">
        <v>184</v>
      </c>
      <c r="C117" s="66">
        <v>91926</v>
      </c>
      <c r="D117" s="67" t="s">
        <v>14</v>
      </c>
      <c r="E117" s="74" t="s">
        <v>150</v>
      </c>
      <c r="F117" s="67" t="s">
        <v>19</v>
      </c>
      <c r="G117" s="101">
        <f>G115*4</f>
        <v>600</v>
      </c>
      <c r="H117" s="72">
        <v>4.05</v>
      </c>
      <c r="I117" s="20">
        <f t="shared" si="19"/>
        <v>5.0625</v>
      </c>
      <c r="J117" s="20">
        <f t="shared" si="18"/>
        <v>3037.5</v>
      </c>
    </row>
    <row r="118" spans="2:10" ht="36" customHeight="1" outlineLevel="1">
      <c r="B118" s="5" t="s">
        <v>185</v>
      </c>
      <c r="C118" s="66">
        <v>91928</v>
      </c>
      <c r="D118" s="67" t="s">
        <v>14</v>
      </c>
      <c r="E118" s="74" t="s">
        <v>151</v>
      </c>
      <c r="F118" s="67" t="s">
        <v>19</v>
      </c>
      <c r="G118" s="101">
        <v>300</v>
      </c>
      <c r="H118" s="72">
        <v>6.64</v>
      </c>
      <c r="I118" s="20">
        <f t="shared" si="19"/>
        <v>8.2999999999999989</v>
      </c>
      <c r="J118" s="20">
        <f t="shared" si="18"/>
        <v>2489.9999999999995</v>
      </c>
    </row>
    <row r="119" spans="2:10" ht="34.5" customHeight="1" outlineLevel="1">
      <c r="B119" s="5" t="s">
        <v>186</v>
      </c>
      <c r="C119" s="66">
        <v>91930</v>
      </c>
      <c r="D119" s="67" t="s">
        <v>14</v>
      </c>
      <c r="E119" s="74" t="s">
        <v>152</v>
      </c>
      <c r="F119" s="67" t="s">
        <v>19</v>
      </c>
      <c r="G119" s="101">
        <v>60</v>
      </c>
      <c r="H119" s="114">
        <v>9.1</v>
      </c>
      <c r="I119" s="20">
        <f t="shared" si="19"/>
        <v>11.375</v>
      </c>
      <c r="J119" s="20">
        <f t="shared" si="18"/>
        <v>682.5</v>
      </c>
    </row>
    <row r="120" spans="2:10" ht="15" outlineLevel="1">
      <c r="B120" s="5" t="s">
        <v>30</v>
      </c>
      <c r="C120" s="70"/>
      <c r="D120" s="70"/>
      <c r="E120" s="78" t="s">
        <v>147</v>
      </c>
      <c r="F120" s="70"/>
      <c r="G120" s="100"/>
      <c r="H120" s="70"/>
      <c r="I120" s="20"/>
      <c r="J120" s="20"/>
    </row>
    <row r="121" spans="2:10" ht="34.5" customHeight="1" outlineLevel="1">
      <c r="B121" s="5" t="s">
        <v>187</v>
      </c>
      <c r="C121" s="66">
        <v>92000</v>
      </c>
      <c r="D121" s="67" t="s">
        <v>14</v>
      </c>
      <c r="E121" s="75" t="s">
        <v>52</v>
      </c>
      <c r="F121" s="67" t="s">
        <v>10</v>
      </c>
      <c r="G121" s="101">
        <v>25</v>
      </c>
      <c r="H121" s="72">
        <v>25.82</v>
      </c>
      <c r="I121" s="20">
        <f t="shared" si="19"/>
        <v>32.274999999999999</v>
      </c>
      <c r="J121" s="20">
        <f t="shared" si="18"/>
        <v>806.875</v>
      </c>
    </row>
    <row r="122" spans="2:10" ht="35.25" customHeight="1" outlineLevel="1">
      <c r="B122" s="5" t="s">
        <v>188</v>
      </c>
      <c r="C122" s="66">
        <v>92004</v>
      </c>
      <c r="D122" s="67" t="s">
        <v>14</v>
      </c>
      <c r="E122" s="75" t="s">
        <v>208</v>
      </c>
      <c r="F122" s="67" t="s">
        <v>10</v>
      </c>
      <c r="G122" s="101">
        <v>20</v>
      </c>
      <c r="H122" s="72">
        <v>47.81</v>
      </c>
      <c r="I122" s="20">
        <f t="shared" si="19"/>
        <v>59.762500000000003</v>
      </c>
      <c r="J122" s="20">
        <f t="shared" si="18"/>
        <v>1195.25</v>
      </c>
    </row>
    <row r="123" spans="2:10" ht="42.75" outlineLevel="1">
      <c r="B123" s="5" t="s">
        <v>189</v>
      </c>
      <c r="C123" s="66">
        <v>91953</v>
      </c>
      <c r="D123" s="67" t="s">
        <v>14</v>
      </c>
      <c r="E123" s="74" t="s">
        <v>153</v>
      </c>
      <c r="F123" s="67" t="s">
        <v>10</v>
      </c>
      <c r="G123" s="101">
        <v>20</v>
      </c>
      <c r="H123" s="72">
        <v>24.4</v>
      </c>
      <c r="I123" s="20">
        <f t="shared" si="19"/>
        <v>30.5</v>
      </c>
      <c r="J123" s="20">
        <f t="shared" si="18"/>
        <v>610</v>
      </c>
    </row>
    <row r="124" spans="2:10" ht="42.75" outlineLevel="1">
      <c r="B124" s="5" t="s">
        <v>190</v>
      </c>
      <c r="C124" s="66">
        <v>91959</v>
      </c>
      <c r="D124" s="67" t="s">
        <v>14</v>
      </c>
      <c r="E124" s="74" t="s">
        <v>154</v>
      </c>
      <c r="F124" s="67" t="s">
        <v>10</v>
      </c>
      <c r="G124" s="101">
        <v>15</v>
      </c>
      <c r="H124" s="72">
        <v>38.67</v>
      </c>
      <c r="I124" s="20">
        <f t="shared" si="19"/>
        <v>48.337500000000006</v>
      </c>
      <c r="J124" s="20">
        <f t="shared" si="18"/>
        <v>725.06250000000011</v>
      </c>
    </row>
    <row r="125" spans="2:10" ht="42.75" outlineLevel="1">
      <c r="B125" s="5" t="s">
        <v>191</v>
      </c>
      <c r="C125" s="66">
        <v>100904</v>
      </c>
      <c r="D125" s="67" t="s">
        <v>14</v>
      </c>
      <c r="E125" s="75" t="s">
        <v>148</v>
      </c>
      <c r="F125" s="67" t="s">
        <v>10</v>
      </c>
      <c r="G125" s="101">
        <v>38</v>
      </c>
      <c r="H125" s="72">
        <v>89.99</v>
      </c>
      <c r="I125" s="20">
        <f t="shared" si="19"/>
        <v>112.4875</v>
      </c>
      <c r="J125" s="20">
        <f t="shared" si="18"/>
        <v>4274.5249999999996</v>
      </c>
    </row>
    <row r="126" spans="2:10" ht="20.25" customHeight="1" outlineLevel="1">
      <c r="B126" s="5" t="s">
        <v>192</v>
      </c>
      <c r="C126" s="66">
        <v>9625</v>
      </c>
      <c r="D126" s="67" t="s">
        <v>45</v>
      </c>
      <c r="E126" s="75" t="s">
        <v>210</v>
      </c>
      <c r="F126" s="67" t="s">
        <v>10</v>
      </c>
      <c r="G126" s="101">
        <v>2</v>
      </c>
      <c r="H126" s="13">
        <v>263.77</v>
      </c>
      <c r="I126" s="20">
        <f t="shared" si="19"/>
        <v>329.71249999999998</v>
      </c>
      <c r="J126" s="20">
        <f t="shared" si="18"/>
        <v>659.42499999999995</v>
      </c>
    </row>
    <row r="127" spans="2:10" ht="31.5" customHeight="1" outlineLevel="1">
      <c r="B127" s="5" t="s">
        <v>193</v>
      </c>
      <c r="C127" s="66">
        <v>97599</v>
      </c>
      <c r="D127" s="67" t="s">
        <v>14</v>
      </c>
      <c r="E127" s="76" t="s">
        <v>209</v>
      </c>
      <c r="F127" s="67" t="s">
        <v>10</v>
      </c>
      <c r="G127" s="101">
        <v>4</v>
      </c>
      <c r="H127" s="72">
        <v>29.44</v>
      </c>
      <c r="I127" s="20">
        <f t="shared" si="19"/>
        <v>36.800000000000004</v>
      </c>
      <c r="J127" s="20">
        <f t="shared" si="18"/>
        <v>147.20000000000002</v>
      </c>
    </row>
    <row r="128" spans="2:10" ht="20.100000000000001" customHeight="1">
      <c r="B128" s="215"/>
      <c r="C128" s="18"/>
      <c r="D128" s="18"/>
      <c r="E128" s="18"/>
      <c r="F128" s="18"/>
      <c r="G128" s="89"/>
      <c r="H128" s="19" t="s">
        <v>26</v>
      </c>
      <c r="I128" s="20"/>
      <c r="J128" s="216">
        <f>SUM(J108:J127)</f>
        <v>19751.037499999999</v>
      </c>
    </row>
    <row r="129" spans="1:12" ht="20.100000000000001" customHeight="1">
      <c r="B129" s="9">
        <v>15</v>
      </c>
      <c r="C129" s="33"/>
      <c r="D129" s="33"/>
      <c r="E129" s="7" t="s">
        <v>80</v>
      </c>
      <c r="F129" s="7"/>
      <c r="G129" s="105"/>
      <c r="H129" s="34"/>
      <c r="I129" s="46"/>
      <c r="J129" s="237"/>
    </row>
    <row r="130" spans="1:12" ht="20.100000000000001" customHeight="1" outlineLevel="1">
      <c r="B130" s="47" t="s">
        <v>296</v>
      </c>
      <c r="C130" s="60">
        <v>5</v>
      </c>
      <c r="D130" s="80" t="s">
        <v>45</v>
      </c>
      <c r="E130" s="82" t="s">
        <v>194</v>
      </c>
      <c r="F130" s="57" t="s">
        <v>10</v>
      </c>
      <c r="G130" s="86">
        <v>1</v>
      </c>
      <c r="H130" s="13">
        <v>1920.38</v>
      </c>
      <c r="I130" s="20">
        <f t="shared" si="19"/>
        <v>2400.4750000000004</v>
      </c>
      <c r="J130" s="238">
        <f>I130*G130</f>
        <v>2400.4750000000004</v>
      </c>
    </row>
    <row r="131" spans="1:12" ht="20.100000000000001" customHeight="1" outlineLevel="1">
      <c r="B131" s="47" t="s">
        <v>297</v>
      </c>
      <c r="C131" s="116">
        <v>10710</v>
      </c>
      <c r="D131" s="47" t="s">
        <v>45</v>
      </c>
      <c r="E131" s="127" t="s">
        <v>224</v>
      </c>
      <c r="F131" s="119" t="s">
        <v>15</v>
      </c>
      <c r="G131" s="126">
        <f>1.5*5</f>
        <v>7.5</v>
      </c>
      <c r="H131" s="20">
        <f>127.91*1.05</f>
        <v>134.30549999999999</v>
      </c>
      <c r="I131" s="20">
        <f t="shared" si="19"/>
        <v>167.88187499999998</v>
      </c>
      <c r="J131" s="238">
        <f t="shared" ref="J131:J133" si="20">I131*G131</f>
        <v>1259.1140624999998</v>
      </c>
    </row>
    <row r="132" spans="1:12" ht="31.15" customHeight="1" outlineLevel="1">
      <c r="B132" s="47" t="s">
        <v>298</v>
      </c>
      <c r="C132" s="47">
        <v>12628</v>
      </c>
      <c r="D132" s="116" t="s">
        <v>45</v>
      </c>
      <c r="E132" s="117" t="s">
        <v>211</v>
      </c>
      <c r="F132" s="118" t="s">
        <v>212</v>
      </c>
      <c r="G132" s="119">
        <v>1</v>
      </c>
      <c r="H132" s="119">
        <v>3066.31</v>
      </c>
      <c r="I132" s="20">
        <f t="shared" si="19"/>
        <v>3832.8874999999998</v>
      </c>
      <c r="J132" s="238">
        <f t="shared" si="20"/>
        <v>3832.8874999999998</v>
      </c>
    </row>
    <row r="133" spans="1:12" ht="20.100000000000001" customHeight="1" outlineLevel="1">
      <c r="B133" s="47" t="s">
        <v>299</v>
      </c>
      <c r="C133" s="60">
        <v>99803</v>
      </c>
      <c r="D133" s="81" t="s">
        <v>14</v>
      </c>
      <c r="E133" s="83" t="s">
        <v>155</v>
      </c>
      <c r="F133" s="57" t="s">
        <v>15</v>
      </c>
      <c r="G133" s="86">
        <v>445</v>
      </c>
      <c r="H133" s="57">
        <v>2.1800000000000002</v>
      </c>
      <c r="I133" s="20">
        <f t="shared" si="19"/>
        <v>2.7250000000000001</v>
      </c>
      <c r="J133" s="238">
        <f t="shared" si="20"/>
        <v>1212.625</v>
      </c>
    </row>
    <row r="134" spans="1:12" ht="20.100000000000001" customHeight="1" thickBot="1">
      <c r="B134" s="239"/>
      <c r="C134" s="42"/>
      <c r="D134" s="42"/>
      <c r="E134" s="255" t="s">
        <v>53</v>
      </c>
      <c r="F134" s="255"/>
      <c r="G134" s="255"/>
      <c r="H134" s="256"/>
      <c r="I134" s="43"/>
      <c r="J134" s="235">
        <f>SUM(J130:J133)</f>
        <v>8705.1015625</v>
      </c>
    </row>
    <row r="135" spans="1:12" ht="20.100000000000001" customHeight="1">
      <c r="B135" s="240"/>
      <c r="C135" s="241"/>
      <c r="D135" s="241"/>
      <c r="E135" s="241"/>
      <c r="F135" s="241"/>
      <c r="G135" s="242"/>
      <c r="H135" s="243" t="s">
        <v>40</v>
      </c>
      <c r="I135" s="244"/>
      <c r="J135" s="245">
        <f>J15+J21+J33+J36+J43+J51+J54+J58+J63+J68+J83+J97+J106+J128+J134</f>
        <v>201420.62953749998</v>
      </c>
    </row>
    <row r="136" spans="1:12" ht="20.100000000000001" customHeight="1">
      <c r="E136" s="14"/>
      <c r="G136" s="106"/>
      <c r="H136" s="11"/>
      <c r="J136" s="16"/>
    </row>
    <row r="137" spans="1:12" ht="20.100000000000001" customHeight="1">
      <c r="G137" s="106"/>
      <c r="H137" s="11"/>
      <c r="I137" s="8"/>
      <c r="J137" s="6"/>
      <c r="K137" s="10"/>
    </row>
    <row r="138" spans="1:12" ht="52.5" customHeight="1">
      <c r="E138" s="14"/>
      <c r="G138" s="106"/>
      <c r="H138" s="11"/>
      <c r="J138" s="16"/>
    </row>
    <row r="139" spans="1:12" ht="15.75">
      <c r="A139" s="1"/>
      <c r="C139" s="257" t="s">
        <v>88</v>
      </c>
      <c r="D139" s="257"/>
      <c r="E139" s="257"/>
      <c r="G139" s="106"/>
      <c r="H139" s="11"/>
      <c r="I139" s="8"/>
      <c r="J139" s="6"/>
    </row>
    <row r="140" spans="1:12">
      <c r="A140" s="1"/>
      <c r="C140" s="258" t="s">
        <v>89</v>
      </c>
      <c r="D140" s="258"/>
      <c r="E140" s="258"/>
    </row>
    <row r="141" spans="1:12" ht="18.75">
      <c r="B141" s="110"/>
      <c r="C141" s="258" t="s">
        <v>90</v>
      </c>
      <c r="D141" s="258"/>
      <c r="E141" s="258"/>
    </row>
    <row r="142" spans="1:12" ht="14.25">
      <c r="B142" s="111"/>
      <c r="C142" s="111"/>
      <c r="D142" s="111"/>
      <c r="E142" s="21"/>
    </row>
    <row r="143" spans="1:12" ht="14.25">
      <c r="B143" s="254"/>
      <c r="C143" s="254"/>
      <c r="D143" s="254"/>
    </row>
    <row r="144" spans="1:12" s="2" customFormat="1">
      <c r="C144" s="3"/>
      <c r="D144" s="3"/>
      <c r="E144" s="4"/>
      <c r="G144" s="107"/>
      <c r="H144" s="10"/>
      <c r="I144" s="1"/>
      <c r="J144" s="1"/>
      <c r="K144" s="1"/>
      <c r="L144" s="16"/>
    </row>
    <row r="155" spans="7:7" s="1" customFormat="1">
      <c r="G155" s="108"/>
    </row>
    <row r="156" spans="7:7" s="1" customFormat="1">
      <c r="G156" s="108"/>
    </row>
    <row r="177" spans="7:7" s="1" customFormat="1">
      <c r="G177" s="108"/>
    </row>
    <row r="182" spans="7:7" s="1" customFormat="1">
      <c r="G182" s="108"/>
    </row>
  </sheetData>
  <mergeCells count="13">
    <mergeCell ref="B51:H51"/>
    <mergeCell ref="B54:H54"/>
    <mergeCell ref="B143:D143"/>
    <mergeCell ref="E134:H134"/>
    <mergeCell ref="C139:E139"/>
    <mergeCell ref="C140:E140"/>
    <mergeCell ref="C141:E141"/>
    <mergeCell ref="B1:J1"/>
    <mergeCell ref="B2:J2"/>
    <mergeCell ref="B6:H6"/>
    <mergeCell ref="C3:H3"/>
    <mergeCell ref="C4:H4"/>
    <mergeCell ref="B5:H5"/>
  </mergeCells>
  <conditionalFormatting sqref="I134">
    <cfRule type="cellIs" dxfId="4" priority="4" stopIfTrue="1" operator="equal">
      <formula>0</formula>
    </cfRule>
  </conditionalFormatting>
  <conditionalFormatting sqref="E134">
    <cfRule type="cellIs" dxfId="3" priority="3" stopIfTrue="1" operator="equal">
      <formula>0</formula>
    </cfRule>
  </conditionalFormatting>
  <printOptions horizontalCentered="1"/>
  <pageMargins left="0.27559055118110237" right="0.35433070866141736" top="0.59055118110236227" bottom="0.31496062992125984" header="0.35433070866141736" footer="0.19685039370078741"/>
  <pageSetup paperSize="9" scale="55" fitToHeight="0" orientation="portrait" horizontalDpi="360" verticalDpi="360" r:id="rId1"/>
  <headerFooter alignWithMargins="0">
    <oddFooter>Página &amp;P de &amp;N</oddFooter>
  </headerFooter>
  <rowBreaks count="3" manualBreakCount="3">
    <brk id="51" max="9" man="1"/>
    <brk id="91" max="9" man="1"/>
    <brk id="128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9"/>
  <sheetViews>
    <sheetView view="pageBreakPreview" zoomScale="120" zoomScaleNormal="110" zoomScaleSheetLayoutView="120" workbookViewId="0">
      <selection activeCell="J34" sqref="J34"/>
    </sheetView>
  </sheetViews>
  <sheetFormatPr defaultRowHeight="12.75"/>
  <cols>
    <col min="1" max="1" width="8.75" style="130"/>
    <col min="2" max="2" width="60" style="130" customWidth="1"/>
    <col min="3" max="3" width="14" style="130" customWidth="1"/>
    <col min="4" max="4" width="9.25" style="130" bestFit="1" customWidth="1"/>
    <col min="5" max="5" width="11.25" style="130" customWidth="1"/>
    <col min="6" max="6" width="12.625" style="130" customWidth="1"/>
    <col min="7" max="7" width="11.625" style="130" customWidth="1"/>
    <col min="8" max="8" width="11.5" style="130" customWidth="1"/>
    <col min="9" max="254" width="8.75" style="130"/>
    <col min="255" max="255" width="60" style="130" customWidth="1"/>
    <col min="256" max="256" width="14" style="130" customWidth="1"/>
    <col min="257" max="257" width="9.25" style="130" bestFit="1" customWidth="1"/>
    <col min="258" max="258" width="11.25" style="130" customWidth="1"/>
    <col min="259" max="261" width="12.625" style="130" customWidth="1"/>
    <col min="262" max="262" width="10.5" style="130" customWidth="1"/>
    <col min="263" max="510" width="8.75" style="130"/>
    <col min="511" max="511" width="60" style="130" customWidth="1"/>
    <col min="512" max="512" width="14" style="130" customWidth="1"/>
    <col min="513" max="513" width="9.25" style="130" bestFit="1" customWidth="1"/>
    <col min="514" max="514" width="11.25" style="130" customWidth="1"/>
    <col min="515" max="517" width="12.625" style="130" customWidth="1"/>
    <col min="518" max="518" width="10.5" style="130" customWidth="1"/>
    <col min="519" max="766" width="8.75" style="130"/>
    <col min="767" max="767" width="60" style="130" customWidth="1"/>
    <col min="768" max="768" width="14" style="130" customWidth="1"/>
    <col min="769" max="769" width="9.25" style="130" bestFit="1" customWidth="1"/>
    <col min="770" max="770" width="11.25" style="130" customWidth="1"/>
    <col min="771" max="773" width="12.625" style="130" customWidth="1"/>
    <col min="774" max="774" width="10.5" style="130" customWidth="1"/>
    <col min="775" max="1022" width="8.75" style="130"/>
    <col min="1023" max="1023" width="60" style="130" customWidth="1"/>
    <col min="1024" max="1024" width="14" style="130" customWidth="1"/>
    <col min="1025" max="1025" width="9.25" style="130" bestFit="1" customWidth="1"/>
    <col min="1026" max="1026" width="11.25" style="130" customWidth="1"/>
    <col min="1027" max="1029" width="12.625" style="130" customWidth="1"/>
    <col min="1030" max="1030" width="10.5" style="130" customWidth="1"/>
    <col min="1031" max="1278" width="8.75" style="130"/>
    <col min="1279" max="1279" width="60" style="130" customWidth="1"/>
    <col min="1280" max="1280" width="14" style="130" customWidth="1"/>
    <col min="1281" max="1281" width="9.25" style="130" bestFit="1" customWidth="1"/>
    <col min="1282" max="1282" width="11.25" style="130" customWidth="1"/>
    <col min="1283" max="1285" width="12.625" style="130" customWidth="1"/>
    <col min="1286" max="1286" width="10.5" style="130" customWidth="1"/>
    <col min="1287" max="1534" width="8.75" style="130"/>
    <col min="1535" max="1535" width="60" style="130" customWidth="1"/>
    <col min="1536" max="1536" width="14" style="130" customWidth="1"/>
    <col min="1537" max="1537" width="9.25" style="130" bestFit="1" customWidth="1"/>
    <col min="1538" max="1538" width="11.25" style="130" customWidth="1"/>
    <col min="1539" max="1541" width="12.625" style="130" customWidth="1"/>
    <col min="1542" max="1542" width="10.5" style="130" customWidth="1"/>
    <col min="1543" max="1790" width="8.75" style="130"/>
    <col min="1791" max="1791" width="60" style="130" customWidth="1"/>
    <col min="1792" max="1792" width="14" style="130" customWidth="1"/>
    <col min="1793" max="1793" width="9.25" style="130" bestFit="1" customWidth="1"/>
    <col min="1794" max="1794" width="11.25" style="130" customWidth="1"/>
    <col min="1795" max="1797" width="12.625" style="130" customWidth="1"/>
    <col min="1798" max="1798" width="10.5" style="130" customWidth="1"/>
    <col min="1799" max="2046" width="8.75" style="130"/>
    <col min="2047" max="2047" width="60" style="130" customWidth="1"/>
    <col min="2048" max="2048" width="14" style="130" customWidth="1"/>
    <col min="2049" max="2049" width="9.25" style="130" bestFit="1" customWidth="1"/>
    <col min="2050" max="2050" width="11.25" style="130" customWidth="1"/>
    <col min="2051" max="2053" width="12.625" style="130" customWidth="1"/>
    <col min="2054" max="2054" width="10.5" style="130" customWidth="1"/>
    <col min="2055" max="2302" width="8.75" style="130"/>
    <col min="2303" max="2303" width="60" style="130" customWidth="1"/>
    <col min="2304" max="2304" width="14" style="130" customWidth="1"/>
    <col min="2305" max="2305" width="9.25" style="130" bestFit="1" customWidth="1"/>
    <col min="2306" max="2306" width="11.25" style="130" customWidth="1"/>
    <col min="2307" max="2309" width="12.625" style="130" customWidth="1"/>
    <col min="2310" max="2310" width="10.5" style="130" customWidth="1"/>
    <col min="2311" max="2558" width="8.75" style="130"/>
    <col min="2559" max="2559" width="60" style="130" customWidth="1"/>
    <col min="2560" max="2560" width="14" style="130" customWidth="1"/>
    <col min="2561" max="2561" width="9.25" style="130" bestFit="1" customWidth="1"/>
    <col min="2562" max="2562" width="11.25" style="130" customWidth="1"/>
    <col min="2563" max="2565" width="12.625" style="130" customWidth="1"/>
    <col min="2566" max="2566" width="10.5" style="130" customWidth="1"/>
    <col min="2567" max="2814" width="8.75" style="130"/>
    <col min="2815" max="2815" width="60" style="130" customWidth="1"/>
    <col min="2816" max="2816" width="14" style="130" customWidth="1"/>
    <col min="2817" max="2817" width="9.25" style="130" bestFit="1" customWidth="1"/>
    <col min="2818" max="2818" width="11.25" style="130" customWidth="1"/>
    <col min="2819" max="2821" width="12.625" style="130" customWidth="1"/>
    <col min="2822" max="2822" width="10.5" style="130" customWidth="1"/>
    <col min="2823" max="3070" width="8.75" style="130"/>
    <col min="3071" max="3071" width="60" style="130" customWidth="1"/>
    <col min="3072" max="3072" width="14" style="130" customWidth="1"/>
    <col min="3073" max="3073" width="9.25" style="130" bestFit="1" customWidth="1"/>
    <col min="3074" max="3074" width="11.25" style="130" customWidth="1"/>
    <col min="3075" max="3077" width="12.625" style="130" customWidth="1"/>
    <col min="3078" max="3078" width="10.5" style="130" customWidth="1"/>
    <col min="3079" max="3326" width="8.75" style="130"/>
    <col min="3327" max="3327" width="60" style="130" customWidth="1"/>
    <col min="3328" max="3328" width="14" style="130" customWidth="1"/>
    <col min="3329" max="3329" width="9.25" style="130" bestFit="1" customWidth="1"/>
    <col min="3330" max="3330" width="11.25" style="130" customWidth="1"/>
    <col min="3331" max="3333" width="12.625" style="130" customWidth="1"/>
    <col min="3334" max="3334" width="10.5" style="130" customWidth="1"/>
    <col min="3335" max="3582" width="8.75" style="130"/>
    <col min="3583" max="3583" width="60" style="130" customWidth="1"/>
    <col min="3584" max="3584" width="14" style="130" customWidth="1"/>
    <col min="3585" max="3585" width="9.25" style="130" bestFit="1" customWidth="1"/>
    <col min="3586" max="3586" width="11.25" style="130" customWidth="1"/>
    <col min="3587" max="3589" width="12.625" style="130" customWidth="1"/>
    <col min="3590" max="3590" width="10.5" style="130" customWidth="1"/>
    <col min="3591" max="3838" width="8.75" style="130"/>
    <col min="3839" max="3839" width="60" style="130" customWidth="1"/>
    <col min="3840" max="3840" width="14" style="130" customWidth="1"/>
    <col min="3841" max="3841" width="9.25" style="130" bestFit="1" customWidth="1"/>
    <col min="3842" max="3842" width="11.25" style="130" customWidth="1"/>
    <col min="3843" max="3845" width="12.625" style="130" customWidth="1"/>
    <col min="3846" max="3846" width="10.5" style="130" customWidth="1"/>
    <col min="3847" max="4094" width="8.75" style="130"/>
    <col min="4095" max="4095" width="60" style="130" customWidth="1"/>
    <col min="4096" max="4096" width="14" style="130" customWidth="1"/>
    <col min="4097" max="4097" width="9.25" style="130" bestFit="1" customWidth="1"/>
    <col min="4098" max="4098" width="11.25" style="130" customWidth="1"/>
    <col min="4099" max="4101" width="12.625" style="130" customWidth="1"/>
    <col min="4102" max="4102" width="10.5" style="130" customWidth="1"/>
    <col min="4103" max="4350" width="8.75" style="130"/>
    <col min="4351" max="4351" width="60" style="130" customWidth="1"/>
    <col min="4352" max="4352" width="14" style="130" customWidth="1"/>
    <col min="4353" max="4353" width="9.25" style="130" bestFit="1" customWidth="1"/>
    <col min="4354" max="4354" width="11.25" style="130" customWidth="1"/>
    <col min="4355" max="4357" width="12.625" style="130" customWidth="1"/>
    <col min="4358" max="4358" width="10.5" style="130" customWidth="1"/>
    <col min="4359" max="4606" width="8.75" style="130"/>
    <col min="4607" max="4607" width="60" style="130" customWidth="1"/>
    <col min="4608" max="4608" width="14" style="130" customWidth="1"/>
    <col min="4609" max="4609" width="9.25" style="130" bestFit="1" customWidth="1"/>
    <col min="4610" max="4610" width="11.25" style="130" customWidth="1"/>
    <col min="4611" max="4613" width="12.625" style="130" customWidth="1"/>
    <col min="4614" max="4614" width="10.5" style="130" customWidth="1"/>
    <col min="4615" max="4862" width="8.75" style="130"/>
    <col min="4863" max="4863" width="60" style="130" customWidth="1"/>
    <col min="4864" max="4864" width="14" style="130" customWidth="1"/>
    <col min="4865" max="4865" width="9.25" style="130" bestFit="1" customWidth="1"/>
    <col min="4866" max="4866" width="11.25" style="130" customWidth="1"/>
    <col min="4867" max="4869" width="12.625" style="130" customWidth="1"/>
    <col min="4870" max="4870" width="10.5" style="130" customWidth="1"/>
    <col min="4871" max="5118" width="8.75" style="130"/>
    <col min="5119" max="5119" width="60" style="130" customWidth="1"/>
    <col min="5120" max="5120" width="14" style="130" customWidth="1"/>
    <col min="5121" max="5121" width="9.25" style="130" bestFit="1" customWidth="1"/>
    <col min="5122" max="5122" width="11.25" style="130" customWidth="1"/>
    <col min="5123" max="5125" width="12.625" style="130" customWidth="1"/>
    <col min="5126" max="5126" width="10.5" style="130" customWidth="1"/>
    <col min="5127" max="5374" width="8.75" style="130"/>
    <col min="5375" max="5375" width="60" style="130" customWidth="1"/>
    <col min="5376" max="5376" width="14" style="130" customWidth="1"/>
    <col min="5377" max="5377" width="9.25" style="130" bestFit="1" customWidth="1"/>
    <col min="5378" max="5378" width="11.25" style="130" customWidth="1"/>
    <col min="5379" max="5381" width="12.625" style="130" customWidth="1"/>
    <col min="5382" max="5382" width="10.5" style="130" customWidth="1"/>
    <col min="5383" max="5630" width="8.75" style="130"/>
    <col min="5631" max="5631" width="60" style="130" customWidth="1"/>
    <col min="5632" max="5632" width="14" style="130" customWidth="1"/>
    <col min="5633" max="5633" width="9.25" style="130" bestFit="1" customWidth="1"/>
    <col min="5634" max="5634" width="11.25" style="130" customWidth="1"/>
    <col min="5635" max="5637" width="12.625" style="130" customWidth="1"/>
    <col min="5638" max="5638" width="10.5" style="130" customWidth="1"/>
    <col min="5639" max="5886" width="8.75" style="130"/>
    <col min="5887" max="5887" width="60" style="130" customWidth="1"/>
    <col min="5888" max="5888" width="14" style="130" customWidth="1"/>
    <col min="5889" max="5889" width="9.25" style="130" bestFit="1" customWidth="1"/>
    <col min="5890" max="5890" width="11.25" style="130" customWidth="1"/>
    <col min="5891" max="5893" width="12.625" style="130" customWidth="1"/>
    <col min="5894" max="5894" width="10.5" style="130" customWidth="1"/>
    <col min="5895" max="6142" width="8.75" style="130"/>
    <col min="6143" max="6143" width="60" style="130" customWidth="1"/>
    <col min="6144" max="6144" width="14" style="130" customWidth="1"/>
    <col min="6145" max="6145" width="9.25" style="130" bestFit="1" customWidth="1"/>
    <col min="6146" max="6146" width="11.25" style="130" customWidth="1"/>
    <col min="6147" max="6149" width="12.625" style="130" customWidth="1"/>
    <col min="6150" max="6150" width="10.5" style="130" customWidth="1"/>
    <col min="6151" max="6398" width="8.75" style="130"/>
    <col min="6399" max="6399" width="60" style="130" customWidth="1"/>
    <col min="6400" max="6400" width="14" style="130" customWidth="1"/>
    <col min="6401" max="6401" width="9.25" style="130" bestFit="1" customWidth="1"/>
    <col min="6402" max="6402" width="11.25" style="130" customWidth="1"/>
    <col min="6403" max="6405" width="12.625" style="130" customWidth="1"/>
    <col min="6406" max="6406" width="10.5" style="130" customWidth="1"/>
    <col min="6407" max="6654" width="8.75" style="130"/>
    <col min="6655" max="6655" width="60" style="130" customWidth="1"/>
    <col min="6656" max="6656" width="14" style="130" customWidth="1"/>
    <col min="6657" max="6657" width="9.25" style="130" bestFit="1" customWidth="1"/>
    <col min="6658" max="6658" width="11.25" style="130" customWidth="1"/>
    <col min="6659" max="6661" width="12.625" style="130" customWidth="1"/>
    <col min="6662" max="6662" width="10.5" style="130" customWidth="1"/>
    <col min="6663" max="6910" width="8.75" style="130"/>
    <col min="6911" max="6911" width="60" style="130" customWidth="1"/>
    <col min="6912" max="6912" width="14" style="130" customWidth="1"/>
    <col min="6913" max="6913" width="9.25" style="130" bestFit="1" customWidth="1"/>
    <col min="6914" max="6914" width="11.25" style="130" customWidth="1"/>
    <col min="6915" max="6917" width="12.625" style="130" customWidth="1"/>
    <col min="6918" max="6918" width="10.5" style="130" customWidth="1"/>
    <col min="6919" max="7166" width="8.75" style="130"/>
    <col min="7167" max="7167" width="60" style="130" customWidth="1"/>
    <col min="7168" max="7168" width="14" style="130" customWidth="1"/>
    <col min="7169" max="7169" width="9.25" style="130" bestFit="1" customWidth="1"/>
    <col min="7170" max="7170" width="11.25" style="130" customWidth="1"/>
    <col min="7171" max="7173" width="12.625" style="130" customWidth="1"/>
    <col min="7174" max="7174" width="10.5" style="130" customWidth="1"/>
    <col min="7175" max="7422" width="8.75" style="130"/>
    <col min="7423" max="7423" width="60" style="130" customWidth="1"/>
    <col min="7424" max="7424" width="14" style="130" customWidth="1"/>
    <col min="7425" max="7425" width="9.25" style="130" bestFit="1" customWidth="1"/>
    <col min="7426" max="7426" width="11.25" style="130" customWidth="1"/>
    <col min="7427" max="7429" width="12.625" style="130" customWidth="1"/>
    <col min="7430" max="7430" width="10.5" style="130" customWidth="1"/>
    <col min="7431" max="7678" width="8.75" style="130"/>
    <col min="7679" max="7679" width="60" style="130" customWidth="1"/>
    <col min="7680" max="7680" width="14" style="130" customWidth="1"/>
    <col min="7681" max="7681" width="9.25" style="130" bestFit="1" customWidth="1"/>
    <col min="7682" max="7682" width="11.25" style="130" customWidth="1"/>
    <col min="7683" max="7685" width="12.625" style="130" customWidth="1"/>
    <col min="7686" max="7686" width="10.5" style="130" customWidth="1"/>
    <col min="7687" max="7934" width="8.75" style="130"/>
    <col min="7935" max="7935" width="60" style="130" customWidth="1"/>
    <col min="7936" max="7936" width="14" style="130" customWidth="1"/>
    <col min="7937" max="7937" width="9.25" style="130" bestFit="1" customWidth="1"/>
    <col min="7938" max="7938" width="11.25" style="130" customWidth="1"/>
    <col min="7939" max="7941" width="12.625" style="130" customWidth="1"/>
    <col min="7942" max="7942" width="10.5" style="130" customWidth="1"/>
    <col min="7943" max="8190" width="8.75" style="130"/>
    <col min="8191" max="8191" width="60" style="130" customWidth="1"/>
    <col min="8192" max="8192" width="14" style="130" customWidth="1"/>
    <col min="8193" max="8193" width="9.25" style="130" bestFit="1" customWidth="1"/>
    <col min="8194" max="8194" width="11.25" style="130" customWidth="1"/>
    <col min="8195" max="8197" width="12.625" style="130" customWidth="1"/>
    <col min="8198" max="8198" width="10.5" style="130" customWidth="1"/>
    <col min="8199" max="8446" width="8.75" style="130"/>
    <col min="8447" max="8447" width="60" style="130" customWidth="1"/>
    <col min="8448" max="8448" width="14" style="130" customWidth="1"/>
    <col min="8449" max="8449" width="9.25" style="130" bestFit="1" customWidth="1"/>
    <col min="8450" max="8450" width="11.25" style="130" customWidth="1"/>
    <col min="8451" max="8453" width="12.625" style="130" customWidth="1"/>
    <col min="8454" max="8454" width="10.5" style="130" customWidth="1"/>
    <col min="8455" max="8702" width="8.75" style="130"/>
    <col min="8703" max="8703" width="60" style="130" customWidth="1"/>
    <col min="8704" max="8704" width="14" style="130" customWidth="1"/>
    <col min="8705" max="8705" width="9.25" style="130" bestFit="1" customWidth="1"/>
    <col min="8706" max="8706" width="11.25" style="130" customWidth="1"/>
    <col min="8707" max="8709" width="12.625" style="130" customWidth="1"/>
    <col min="8710" max="8710" width="10.5" style="130" customWidth="1"/>
    <col min="8711" max="8958" width="8.75" style="130"/>
    <col min="8959" max="8959" width="60" style="130" customWidth="1"/>
    <col min="8960" max="8960" width="14" style="130" customWidth="1"/>
    <col min="8961" max="8961" width="9.25" style="130" bestFit="1" customWidth="1"/>
    <col min="8962" max="8962" width="11.25" style="130" customWidth="1"/>
    <col min="8963" max="8965" width="12.625" style="130" customWidth="1"/>
    <col min="8966" max="8966" width="10.5" style="130" customWidth="1"/>
    <col min="8967" max="9214" width="8.75" style="130"/>
    <col min="9215" max="9215" width="60" style="130" customWidth="1"/>
    <col min="9216" max="9216" width="14" style="130" customWidth="1"/>
    <col min="9217" max="9217" width="9.25" style="130" bestFit="1" customWidth="1"/>
    <col min="9218" max="9218" width="11.25" style="130" customWidth="1"/>
    <col min="9219" max="9221" width="12.625" style="130" customWidth="1"/>
    <col min="9222" max="9222" width="10.5" style="130" customWidth="1"/>
    <col min="9223" max="9470" width="8.75" style="130"/>
    <col min="9471" max="9471" width="60" style="130" customWidth="1"/>
    <col min="9472" max="9472" width="14" style="130" customWidth="1"/>
    <col min="9473" max="9473" width="9.25" style="130" bestFit="1" customWidth="1"/>
    <col min="9474" max="9474" width="11.25" style="130" customWidth="1"/>
    <col min="9475" max="9477" width="12.625" style="130" customWidth="1"/>
    <col min="9478" max="9478" width="10.5" style="130" customWidth="1"/>
    <col min="9479" max="9726" width="8.75" style="130"/>
    <col min="9727" max="9727" width="60" style="130" customWidth="1"/>
    <col min="9728" max="9728" width="14" style="130" customWidth="1"/>
    <col min="9729" max="9729" width="9.25" style="130" bestFit="1" customWidth="1"/>
    <col min="9730" max="9730" width="11.25" style="130" customWidth="1"/>
    <col min="9731" max="9733" width="12.625" style="130" customWidth="1"/>
    <col min="9734" max="9734" width="10.5" style="130" customWidth="1"/>
    <col min="9735" max="9982" width="8.75" style="130"/>
    <col min="9983" max="9983" width="60" style="130" customWidth="1"/>
    <col min="9984" max="9984" width="14" style="130" customWidth="1"/>
    <col min="9985" max="9985" width="9.25" style="130" bestFit="1" customWidth="1"/>
    <col min="9986" max="9986" width="11.25" style="130" customWidth="1"/>
    <col min="9987" max="9989" width="12.625" style="130" customWidth="1"/>
    <col min="9990" max="9990" width="10.5" style="130" customWidth="1"/>
    <col min="9991" max="10238" width="8.75" style="130"/>
    <col min="10239" max="10239" width="60" style="130" customWidth="1"/>
    <col min="10240" max="10240" width="14" style="130" customWidth="1"/>
    <col min="10241" max="10241" width="9.25" style="130" bestFit="1" customWidth="1"/>
    <col min="10242" max="10242" width="11.25" style="130" customWidth="1"/>
    <col min="10243" max="10245" width="12.625" style="130" customWidth="1"/>
    <col min="10246" max="10246" width="10.5" style="130" customWidth="1"/>
    <col min="10247" max="10494" width="8.75" style="130"/>
    <col min="10495" max="10495" width="60" style="130" customWidth="1"/>
    <col min="10496" max="10496" width="14" style="130" customWidth="1"/>
    <col min="10497" max="10497" width="9.25" style="130" bestFit="1" customWidth="1"/>
    <col min="10498" max="10498" width="11.25" style="130" customWidth="1"/>
    <col min="10499" max="10501" width="12.625" style="130" customWidth="1"/>
    <col min="10502" max="10502" width="10.5" style="130" customWidth="1"/>
    <col min="10503" max="10750" width="8.75" style="130"/>
    <col min="10751" max="10751" width="60" style="130" customWidth="1"/>
    <col min="10752" max="10752" width="14" style="130" customWidth="1"/>
    <col min="10753" max="10753" width="9.25" style="130" bestFit="1" customWidth="1"/>
    <col min="10754" max="10754" width="11.25" style="130" customWidth="1"/>
    <col min="10755" max="10757" width="12.625" style="130" customWidth="1"/>
    <col min="10758" max="10758" width="10.5" style="130" customWidth="1"/>
    <col min="10759" max="11006" width="8.75" style="130"/>
    <col min="11007" max="11007" width="60" style="130" customWidth="1"/>
    <col min="11008" max="11008" width="14" style="130" customWidth="1"/>
    <col min="11009" max="11009" width="9.25" style="130" bestFit="1" customWidth="1"/>
    <col min="11010" max="11010" width="11.25" style="130" customWidth="1"/>
    <col min="11011" max="11013" width="12.625" style="130" customWidth="1"/>
    <col min="11014" max="11014" width="10.5" style="130" customWidth="1"/>
    <col min="11015" max="11262" width="8.75" style="130"/>
    <col min="11263" max="11263" width="60" style="130" customWidth="1"/>
    <col min="11264" max="11264" width="14" style="130" customWidth="1"/>
    <col min="11265" max="11265" width="9.25" style="130" bestFit="1" customWidth="1"/>
    <col min="11266" max="11266" width="11.25" style="130" customWidth="1"/>
    <col min="11267" max="11269" width="12.625" style="130" customWidth="1"/>
    <col min="11270" max="11270" width="10.5" style="130" customWidth="1"/>
    <col min="11271" max="11518" width="8.75" style="130"/>
    <col min="11519" max="11519" width="60" style="130" customWidth="1"/>
    <col min="11520" max="11520" width="14" style="130" customWidth="1"/>
    <col min="11521" max="11521" width="9.25" style="130" bestFit="1" customWidth="1"/>
    <col min="11522" max="11522" width="11.25" style="130" customWidth="1"/>
    <col min="11523" max="11525" width="12.625" style="130" customWidth="1"/>
    <col min="11526" max="11526" width="10.5" style="130" customWidth="1"/>
    <col min="11527" max="11774" width="8.75" style="130"/>
    <col min="11775" max="11775" width="60" style="130" customWidth="1"/>
    <col min="11776" max="11776" width="14" style="130" customWidth="1"/>
    <col min="11777" max="11777" width="9.25" style="130" bestFit="1" customWidth="1"/>
    <col min="11778" max="11778" width="11.25" style="130" customWidth="1"/>
    <col min="11779" max="11781" width="12.625" style="130" customWidth="1"/>
    <col min="11782" max="11782" width="10.5" style="130" customWidth="1"/>
    <col min="11783" max="12030" width="8.75" style="130"/>
    <col min="12031" max="12031" width="60" style="130" customWidth="1"/>
    <col min="12032" max="12032" width="14" style="130" customWidth="1"/>
    <col min="12033" max="12033" width="9.25" style="130" bestFit="1" customWidth="1"/>
    <col min="12034" max="12034" width="11.25" style="130" customWidth="1"/>
    <col min="12035" max="12037" width="12.625" style="130" customWidth="1"/>
    <col min="12038" max="12038" width="10.5" style="130" customWidth="1"/>
    <col min="12039" max="12286" width="8.75" style="130"/>
    <col min="12287" max="12287" width="60" style="130" customWidth="1"/>
    <col min="12288" max="12288" width="14" style="130" customWidth="1"/>
    <col min="12289" max="12289" width="9.25" style="130" bestFit="1" customWidth="1"/>
    <col min="12290" max="12290" width="11.25" style="130" customWidth="1"/>
    <col min="12291" max="12293" width="12.625" style="130" customWidth="1"/>
    <col min="12294" max="12294" width="10.5" style="130" customWidth="1"/>
    <col min="12295" max="12542" width="8.75" style="130"/>
    <col min="12543" max="12543" width="60" style="130" customWidth="1"/>
    <col min="12544" max="12544" width="14" style="130" customWidth="1"/>
    <col min="12545" max="12545" width="9.25" style="130" bestFit="1" customWidth="1"/>
    <col min="12546" max="12546" width="11.25" style="130" customWidth="1"/>
    <col min="12547" max="12549" width="12.625" style="130" customWidth="1"/>
    <col min="12550" max="12550" width="10.5" style="130" customWidth="1"/>
    <col min="12551" max="12798" width="8.75" style="130"/>
    <col min="12799" max="12799" width="60" style="130" customWidth="1"/>
    <col min="12800" max="12800" width="14" style="130" customWidth="1"/>
    <col min="12801" max="12801" width="9.25" style="130" bestFit="1" customWidth="1"/>
    <col min="12802" max="12802" width="11.25" style="130" customWidth="1"/>
    <col min="12803" max="12805" width="12.625" style="130" customWidth="1"/>
    <col min="12806" max="12806" width="10.5" style="130" customWidth="1"/>
    <col min="12807" max="13054" width="8.75" style="130"/>
    <col min="13055" max="13055" width="60" style="130" customWidth="1"/>
    <col min="13056" max="13056" width="14" style="130" customWidth="1"/>
    <col min="13057" max="13057" width="9.25" style="130" bestFit="1" customWidth="1"/>
    <col min="13058" max="13058" width="11.25" style="130" customWidth="1"/>
    <col min="13059" max="13061" width="12.625" style="130" customWidth="1"/>
    <col min="13062" max="13062" width="10.5" style="130" customWidth="1"/>
    <col min="13063" max="13310" width="8.75" style="130"/>
    <col min="13311" max="13311" width="60" style="130" customWidth="1"/>
    <col min="13312" max="13312" width="14" style="130" customWidth="1"/>
    <col min="13313" max="13313" width="9.25" style="130" bestFit="1" customWidth="1"/>
    <col min="13314" max="13314" width="11.25" style="130" customWidth="1"/>
    <col min="13315" max="13317" width="12.625" style="130" customWidth="1"/>
    <col min="13318" max="13318" width="10.5" style="130" customWidth="1"/>
    <col min="13319" max="13566" width="8.75" style="130"/>
    <col min="13567" max="13567" width="60" style="130" customWidth="1"/>
    <col min="13568" max="13568" width="14" style="130" customWidth="1"/>
    <col min="13569" max="13569" width="9.25" style="130" bestFit="1" customWidth="1"/>
    <col min="13570" max="13570" width="11.25" style="130" customWidth="1"/>
    <col min="13571" max="13573" width="12.625" style="130" customWidth="1"/>
    <col min="13574" max="13574" width="10.5" style="130" customWidth="1"/>
    <col min="13575" max="13822" width="8.75" style="130"/>
    <col min="13823" max="13823" width="60" style="130" customWidth="1"/>
    <col min="13824" max="13824" width="14" style="130" customWidth="1"/>
    <col min="13825" max="13825" width="9.25" style="130" bestFit="1" customWidth="1"/>
    <col min="13826" max="13826" width="11.25" style="130" customWidth="1"/>
    <col min="13827" max="13829" width="12.625" style="130" customWidth="1"/>
    <col min="13830" max="13830" width="10.5" style="130" customWidth="1"/>
    <col min="13831" max="14078" width="8.75" style="130"/>
    <col min="14079" max="14079" width="60" style="130" customWidth="1"/>
    <col min="14080" max="14080" width="14" style="130" customWidth="1"/>
    <col min="14081" max="14081" width="9.25" style="130" bestFit="1" customWidth="1"/>
    <col min="14082" max="14082" width="11.25" style="130" customWidth="1"/>
    <col min="14083" max="14085" width="12.625" style="130" customWidth="1"/>
    <col min="14086" max="14086" width="10.5" style="130" customWidth="1"/>
    <col min="14087" max="14334" width="8.75" style="130"/>
    <col min="14335" max="14335" width="60" style="130" customWidth="1"/>
    <col min="14336" max="14336" width="14" style="130" customWidth="1"/>
    <col min="14337" max="14337" width="9.25" style="130" bestFit="1" customWidth="1"/>
    <col min="14338" max="14338" width="11.25" style="130" customWidth="1"/>
    <col min="14339" max="14341" width="12.625" style="130" customWidth="1"/>
    <col min="14342" max="14342" width="10.5" style="130" customWidth="1"/>
    <col min="14343" max="14590" width="8.75" style="130"/>
    <col min="14591" max="14591" width="60" style="130" customWidth="1"/>
    <col min="14592" max="14592" width="14" style="130" customWidth="1"/>
    <col min="14593" max="14593" width="9.25" style="130" bestFit="1" customWidth="1"/>
    <col min="14594" max="14594" width="11.25" style="130" customWidth="1"/>
    <col min="14595" max="14597" width="12.625" style="130" customWidth="1"/>
    <col min="14598" max="14598" width="10.5" style="130" customWidth="1"/>
    <col min="14599" max="14846" width="8.75" style="130"/>
    <col min="14847" max="14847" width="60" style="130" customWidth="1"/>
    <col min="14848" max="14848" width="14" style="130" customWidth="1"/>
    <col min="14849" max="14849" width="9.25" style="130" bestFit="1" customWidth="1"/>
    <col min="14850" max="14850" width="11.25" style="130" customWidth="1"/>
    <col min="14851" max="14853" width="12.625" style="130" customWidth="1"/>
    <col min="14854" max="14854" width="10.5" style="130" customWidth="1"/>
    <col min="14855" max="15102" width="8.75" style="130"/>
    <col min="15103" max="15103" width="60" style="130" customWidth="1"/>
    <col min="15104" max="15104" width="14" style="130" customWidth="1"/>
    <col min="15105" max="15105" width="9.25" style="130" bestFit="1" customWidth="1"/>
    <col min="15106" max="15106" width="11.25" style="130" customWidth="1"/>
    <col min="15107" max="15109" width="12.625" style="130" customWidth="1"/>
    <col min="15110" max="15110" width="10.5" style="130" customWidth="1"/>
    <col min="15111" max="15358" width="8.75" style="130"/>
    <col min="15359" max="15359" width="60" style="130" customWidth="1"/>
    <col min="15360" max="15360" width="14" style="130" customWidth="1"/>
    <col min="15361" max="15361" width="9.25" style="130" bestFit="1" customWidth="1"/>
    <col min="15362" max="15362" width="11.25" style="130" customWidth="1"/>
    <col min="15363" max="15365" width="12.625" style="130" customWidth="1"/>
    <col min="15366" max="15366" width="10.5" style="130" customWidth="1"/>
    <col min="15367" max="15614" width="8.75" style="130"/>
    <col min="15615" max="15615" width="60" style="130" customWidth="1"/>
    <col min="15616" max="15616" width="14" style="130" customWidth="1"/>
    <col min="15617" max="15617" width="9.25" style="130" bestFit="1" customWidth="1"/>
    <col min="15618" max="15618" width="11.25" style="130" customWidth="1"/>
    <col min="15619" max="15621" width="12.625" style="130" customWidth="1"/>
    <col min="15622" max="15622" width="10.5" style="130" customWidth="1"/>
    <col min="15623" max="15870" width="8.75" style="130"/>
    <col min="15871" max="15871" width="60" style="130" customWidth="1"/>
    <col min="15872" max="15872" width="14" style="130" customWidth="1"/>
    <col min="15873" max="15873" width="9.25" style="130" bestFit="1" customWidth="1"/>
    <col min="15874" max="15874" width="11.25" style="130" customWidth="1"/>
    <col min="15875" max="15877" width="12.625" style="130" customWidth="1"/>
    <col min="15878" max="15878" width="10.5" style="130" customWidth="1"/>
    <col min="15879" max="16126" width="8.75" style="130"/>
    <col min="16127" max="16127" width="60" style="130" customWidth="1"/>
    <col min="16128" max="16128" width="14" style="130" customWidth="1"/>
    <col min="16129" max="16129" width="9.25" style="130" bestFit="1" customWidth="1"/>
    <col min="16130" max="16130" width="11.25" style="130" customWidth="1"/>
    <col min="16131" max="16133" width="12.625" style="130" customWidth="1"/>
    <col min="16134" max="16134" width="10.5" style="130" customWidth="1"/>
    <col min="16135" max="16381" width="8.75" style="130"/>
    <col min="16382" max="16384" width="9" style="130" customWidth="1"/>
  </cols>
  <sheetData>
    <row r="1" spans="1:8" ht="72.599999999999994" customHeight="1">
      <c r="A1" s="246" t="str">
        <f>[1]Orçamento!B1</f>
        <v>PREFEITURA MUNICIPAL DE PORTEL</v>
      </c>
      <c r="B1" s="246"/>
      <c r="C1" s="246"/>
      <c r="D1" s="246"/>
      <c r="E1" s="246"/>
      <c r="F1" s="246"/>
      <c r="G1" s="246"/>
      <c r="H1" s="246"/>
    </row>
    <row r="2" spans="1:8" ht="16.149999999999999" customHeight="1">
      <c r="A2" s="247" t="str">
        <f>Orçamento!B2</f>
        <v>DEPARTAMENTO DE OBRAS E ENGENHARIA</v>
      </c>
      <c r="B2" s="247"/>
      <c r="C2" s="247"/>
      <c r="D2" s="247"/>
      <c r="E2" s="247"/>
      <c r="F2" s="247"/>
      <c r="G2" s="247"/>
      <c r="H2" s="247"/>
    </row>
    <row r="3" spans="1:8" ht="15.75">
      <c r="A3" s="131" t="s">
        <v>54</v>
      </c>
      <c r="B3" s="248" t="str">
        <f>Orçamento!C3</f>
        <v>REFORMA NO PRÉDIO DESTINADO PARA SECRETARIA DE MEIO AMBIENTE (SEMA)</v>
      </c>
      <c r="C3" s="249"/>
      <c r="D3" s="250"/>
      <c r="E3" s="23" t="s">
        <v>57</v>
      </c>
      <c r="F3" s="259">
        <v>0.86899999999999999</v>
      </c>
      <c r="G3" s="259"/>
      <c r="H3" s="259"/>
    </row>
    <row r="4" spans="1:8" ht="15.75">
      <c r="A4" s="131" t="s">
        <v>56</v>
      </c>
      <c r="B4" s="248" t="str">
        <f>Orçamento!C4</f>
        <v>RUA HUGO CARLOS SABOI</v>
      </c>
      <c r="C4" s="249"/>
      <c r="D4" s="250"/>
      <c r="E4" s="23" t="s">
        <v>58</v>
      </c>
      <c r="F4" s="259">
        <v>0.47889999999999999</v>
      </c>
      <c r="G4" s="259"/>
      <c r="H4" s="259"/>
    </row>
    <row r="5" spans="1:8" ht="33" customHeight="1">
      <c r="A5" s="269" t="str">
        <f>Orçamento!B5</f>
        <v>REFERÊNCIAS DE VALORES: SINAPI SEM DESONERAÇÃO SETEMBRO DE 2022, ORSE E SEDOP SETEMBRO DE 2022</v>
      </c>
      <c r="B5" s="270"/>
      <c r="C5" s="270"/>
      <c r="D5" s="271"/>
      <c r="E5" s="23" t="s">
        <v>55</v>
      </c>
      <c r="F5" s="259">
        <v>0.25</v>
      </c>
      <c r="G5" s="259"/>
      <c r="H5" s="259"/>
    </row>
    <row r="6" spans="1:8" ht="13.9" customHeight="1">
      <c r="A6" s="260" t="s">
        <v>228</v>
      </c>
      <c r="B6" s="261"/>
      <c r="C6" s="261"/>
      <c r="D6" s="261"/>
      <c r="E6" s="261"/>
      <c r="F6" s="261"/>
      <c r="G6" s="261"/>
      <c r="H6" s="261"/>
    </row>
    <row r="7" spans="1:8">
      <c r="A7" s="262"/>
      <c r="B7" s="263"/>
      <c r="C7" s="263"/>
      <c r="D7" s="263"/>
      <c r="E7" s="263"/>
      <c r="F7" s="263"/>
      <c r="G7" s="263"/>
      <c r="H7" s="263"/>
    </row>
    <row r="8" spans="1:8" ht="13.5" thickBot="1"/>
    <row r="9" spans="1:8">
      <c r="A9" s="133" t="s">
        <v>7</v>
      </c>
      <c r="B9" s="134" t="s">
        <v>229</v>
      </c>
      <c r="C9" s="135" t="s">
        <v>230</v>
      </c>
      <c r="D9" s="134" t="s">
        <v>231</v>
      </c>
      <c r="E9" s="134" t="s">
        <v>232</v>
      </c>
      <c r="F9" s="134" t="s">
        <v>233</v>
      </c>
      <c r="G9" s="134" t="s">
        <v>234</v>
      </c>
      <c r="H9" s="134" t="s">
        <v>235</v>
      </c>
    </row>
    <row r="10" spans="1:8">
      <c r="A10" s="136"/>
      <c r="B10" s="137"/>
      <c r="C10" s="138"/>
      <c r="D10" s="139"/>
      <c r="E10" s="139"/>
      <c r="F10" s="139"/>
      <c r="G10" s="139"/>
      <c r="H10" s="139"/>
    </row>
    <row r="11" spans="1:8" ht="14.25">
      <c r="A11" s="140">
        <v>1</v>
      </c>
      <c r="B11" s="141" t="s">
        <v>37</v>
      </c>
      <c r="C11" s="142">
        <f>Orçamento!J15</f>
        <v>6738.8819750000002</v>
      </c>
      <c r="D11" s="143">
        <f>C11/$C$41</f>
        <v>3.3456761556518583E-2</v>
      </c>
      <c r="E11" s="144">
        <v>1</v>
      </c>
      <c r="F11" s="143"/>
      <c r="G11" s="145"/>
      <c r="H11" s="143"/>
    </row>
    <row r="12" spans="1:8" ht="14.25">
      <c r="A12" s="140"/>
      <c r="B12" s="139"/>
      <c r="C12" s="142"/>
      <c r="D12" s="143"/>
      <c r="E12" s="146">
        <f>C11*E11</f>
        <v>6738.8819750000002</v>
      </c>
      <c r="F12" s="146"/>
      <c r="G12" s="146"/>
      <c r="H12" s="146"/>
    </row>
    <row r="13" spans="1:8" ht="14.25">
      <c r="A13" s="140">
        <v>2</v>
      </c>
      <c r="B13" s="139" t="str">
        <f>Orçamento!E16</f>
        <v>FUNDAÇÃO</v>
      </c>
      <c r="C13" s="142">
        <f>Orçamento!J21</f>
        <v>8747.5154999999995</v>
      </c>
      <c r="D13" s="143">
        <f>C13/$C$41</f>
        <v>4.3429094229751719E-2</v>
      </c>
      <c r="E13" s="144">
        <v>1</v>
      </c>
      <c r="F13" s="145"/>
      <c r="G13" s="145"/>
      <c r="H13" s="147"/>
    </row>
    <row r="14" spans="1:8" ht="14.25">
      <c r="A14" s="140"/>
      <c r="B14" s="139"/>
      <c r="C14" s="142"/>
      <c r="D14" s="143"/>
      <c r="E14" s="146">
        <f>$C13*E13</f>
        <v>8747.5154999999995</v>
      </c>
      <c r="F14" s="146"/>
      <c r="G14" s="146"/>
      <c r="H14" s="146"/>
    </row>
    <row r="15" spans="1:8" ht="14.25">
      <c r="A15" s="140">
        <v>3</v>
      </c>
      <c r="B15" s="139" t="str">
        <f>Orçamento!E22</f>
        <v>SUPERESTRUTURA</v>
      </c>
      <c r="C15" s="142">
        <f>Orçamento!J33</f>
        <v>10448.888625</v>
      </c>
      <c r="D15" s="143">
        <f>C15/$C$41</f>
        <v>5.1875960516023771E-2</v>
      </c>
      <c r="E15" s="144">
        <v>0.2</v>
      </c>
      <c r="F15" s="144">
        <v>0.4</v>
      </c>
      <c r="G15" s="144">
        <v>0.4</v>
      </c>
      <c r="H15" s="145"/>
    </row>
    <row r="16" spans="1:8" ht="14.25">
      <c r="A16" s="140"/>
      <c r="B16" s="139"/>
      <c r="C16" s="142"/>
      <c r="D16" s="143"/>
      <c r="E16" s="146">
        <f>C15*E15</f>
        <v>2089.7777249999999</v>
      </c>
      <c r="F16" s="146">
        <f>C15*F15</f>
        <v>4179.5554499999998</v>
      </c>
      <c r="G16" s="146">
        <f>C15*G15</f>
        <v>4179.5554499999998</v>
      </c>
      <c r="H16" s="146"/>
    </row>
    <row r="17" spans="1:8" ht="14.25">
      <c r="A17" s="140">
        <v>4</v>
      </c>
      <c r="B17" s="139" t="str">
        <f>Orçamento!E34</f>
        <v>ALVENARIA DE VEDAÇÃO</v>
      </c>
      <c r="C17" s="142">
        <f>Orçamento!J36</f>
        <v>8956.3250000000007</v>
      </c>
      <c r="D17" s="143">
        <f>C17/$C$41</f>
        <v>4.4465778011743007E-2</v>
      </c>
      <c r="E17" s="144">
        <v>0.6</v>
      </c>
      <c r="F17" s="144">
        <v>0.4</v>
      </c>
      <c r="G17" s="146"/>
      <c r="H17" s="146"/>
    </row>
    <row r="18" spans="1:8" ht="14.25">
      <c r="A18" s="140"/>
      <c r="B18" s="139"/>
      <c r="C18" s="142"/>
      <c r="D18" s="143"/>
      <c r="E18" s="146">
        <f>C17*E17</f>
        <v>5373.7950000000001</v>
      </c>
      <c r="F18" s="146">
        <f>C17*F17</f>
        <v>3582.5300000000007</v>
      </c>
      <c r="G18" s="146"/>
      <c r="H18" s="146"/>
    </row>
    <row r="19" spans="1:8" ht="14.25">
      <c r="A19" s="140">
        <v>5</v>
      </c>
      <c r="B19" s="139" t="str">
        <f>Orçamento!E37</f>
        <v>COBERTURA /FORRO</v>
      </c>
      <c r="C19" s="142">
        <f>Orçamento!J43</f>
        <v>43644.275000000001</v>
      </c>
      <c r="D19" s="143">
        <f>C19/$C$41</f>
        <v>0.21668224898420557</v>
      </c>
      <c r="E19" s="144">
        <v>0.5</v>
      </c>
      <c r="F19" s="144">
        <v>0.3</v>
      </c>
      <c r="G19" s="144">
        <v>0.2</v>
      </c>
      <c r="H19" s="146"/>
    </row>
    <row r="20" spans="1:8" ht="14.25">
      <c r="A20" s="140"/>
      <c r="B20" s="139"/>
      <c r="C20" s="142"/>
      <c r="D20" s="143"/>
      <c r="E20" s="146">
        <f>C19*E19</f>
        <v>21822.137500000001</v>
      </c>
      <c r="F20" s="146">
        <f>C19*F19</f>
        <v>13093.282499999999</v>
      </c>
      <c r="G20" s="146">
        <f>C19*G19</f>
        <v>8728.8550000000014</v>
      </c>
      <c r="H20" s="146"/>
    </row>
    <row r="21" spans="1:8" ht="14.25">
      <c r="A21" s="140">
        <v>6</v>
      </c>
      <c r="B21" s="139" t="str">
        <f>Orçamento!E44</f>
        <v>ESQUADRIAS</v>
      </c>
      <c r="C21" s="142">
        <f>Orçamento!J51</f>
        <v>11285.987499999999</v>
      </c>
      <c r="D21" s="143">
        <f>C21/$C$41</f>
        <v>5.6031934394777584E-2</v>
      </c>
      <c r="E21" s="139"/>
      <c r="F21" s="145"/>
      <c r="G21" s="144">
        <v>0.5</v>
      </c>
      <c r="H21" s="144">
        <v>0.5</v>
      </c>
    </row>
    <row r="22" spans="1:8" ht="14.25">
      <c r="A22" s="140"/>
      <c r="B22" s="139"/>
      <c r="C22" s="142"/>
      <c r="D22" s="143"/>
      <c r="E22" s="139"/>
      <c r="F22" s="146"/>
      <c r="G22" s="146">
        <f>C21*G21</f>
        <v>5642.9937499999996</v>
      </c>
      <c r="H22" s="146">
        <f>C21*H21</f>
        <v>5642.9937499999996</v>
      </c>
    </row>
    <row r="23" spans="1:8" ht="14.25">
      <c r="A23" s="140">
        <v>7</v>
      </c>
      <c r="B23" s="139" t="str">
        <f>Orçamento!E52</f>
        <v>IMPERMEABILIZAÇÃO</v>
      </c>
      <c r="C23" s="142">
        <f>Orçamento!J54</f>
        <v>1433.7</v>
      </c>
      <c r="D23" s="143">
        <f>C23/$C$41</f>
        <v>7.1179402193908715E-3</v>
      </c>
      <c r="E23" s="139"/>
      <c r="F23" s="144">
        <v>1</v>
      </c>
      <c r="G23" s="139"/>
      <c r="H23" s="145"/>
    </row>
    <row r="24" spans="1:8" ht="14.25">
      <c r="A24" s="140"/>
      <c r="B24" s="139"/>
      <c r="C24" s="142"/>
      <c r="D24" s="143"/>
      <c r="E24" s="139"/>
      <c r="F24" s="146">
        <f>C23*F23</f>
        <v>1433.7</v>
      </c>
      <c r="G24" s="139"/>
      <c r="H24" s="146"/>
    </row>
    <row r="25" spans="1:8" ht="14.25">
      <c r="A25" s="140">
        <v>8</v>
      </c>
      <c r="B25" s="139" t="str">
        <f>Orçamento!E55</f>
        <v>REVESTIMENTOS INTERNO E EXTERNO</v>
      </c>
      <c r="C25" s="142">
        <f>Orçamento!J58</f>
        <v>15014.324500000001</v>
      </c>
      <c r="D25" s="143">
        <f>C25/$C$41</f>
        <v>7.4542138680013761E-2</v>
      </c>
      <c r="E25" s="145"/>
      <c r="F25" s="145"/>
      <c r="G25" s="144">
        <v>0.8</v>
      </c>
      <c r="H25" s="144">
        <v>0.2</v>
      </c>
    </row>
    <row r="26" spans="1:8" ht="14.25">
      <c r="A26" s="140"/>
      <c r="B26" s="139"/>
      <c r="C26" s="142"/>
      <c r="D26" s="143"/>
      <c r="E26" s="146"/>
      <c r="F26" s="146"/>
      <c r="G26" s="146">
        <f>C25*G25</f>
        <v>12011.459600000002</v>
      </c>
      <c r="H26" s="146">
        <f>C25*H25</f>
        <v>3002.8649000000005</v>
      </c>
    </row>
    <row r="27" spans="1:8" ht="14.25">
      <c r="A27" s="140">
        <v>9</v>
      </c>
      <c r="B27" s="139" t="str">
        <f>Orçamento!E59</f>
        <v>SISTEMAS DE PISOS</v>
      </c>
      <c r="C27" s="142">
        <f>Orçamento!J63</f>
        <v>21962.972375000001</v>
      </c>
      <c r="D27" s="143">
        <f>C27/$C$41</f>
        <v>0.10904033229084407</v>
      </c>
      <c r="E27" s="145"/>
      <c r="F27" s="144">
        <v>0.5</v>
      </c>
      <c r="G27" s="144">
        <v>0.3</v>
      </c>
      <c r="H27" s="144">
        <v>0.2</v>
      </c>
    </row>
    <row r="28" spans="1:8" ht="14.25">
      <c r="A28" s="140"/>
      <c r="B28" s="139"/>
      <c r="C28" s="142"/>
      <c r="D28" s="143"/>
      <c r="E28" s="146"/>
      <c r="F28" s="146">
        <f>$C27*F27</f>
        <v>10981.486187500001</v>
      </c>
      <c r="G28" s="146">
        <f>$C27*G27</f>
        <v>6588.8917124999998</v>
      </c>
      <c r="H28" s="146">
        <f>$C27*H27</f>
        <v>4392.5944750000008</v>
      </c>
    </row>
    <row r="29" spans="1:8" ht="14.25">
      <c r="A29" s="140">
        <v>10</v>
      </c>
      <c r="B29" s="139" t="str">
        <f>Orçamento!E64</f>
        <v>PINTURAS E ACABAMENTOS</v>
      </c>
      <c r="C29" s="142">
        <f>Orçamento!J68</f>
        <v>29590.357499999998</v>
      </c>
      <c r="D29" s="143">
        <f>C29/$C$41</f>
        <v>0.14690827631680567</v>
      </c>
      <c r="E29" s="139"/>
      <c r="F29" s="144">
        <v>0.2</v>
      </c>
      <c r="G29" s="144">
        <v>0.5</v>
      </c>
      <c r="H29" s="144">
        <v>0.3</v>
      </c>
    </row>
    <row r="30" spans="1:8" ht="14.25">
      <c r="A30" s="140"/>
      <c r="B30" s="139"/>
      <c r="C30" s="142"/>
      <c r="D30" s="143"/>
      <c r="E30" s="139"/>
      <c r="F30" s="146">
        <f>C29*F29</f>
        <v>5918.0715</v>
      </c>
      <c r="G30" s="146">
        <f>C29*G29</f>
        <v>14795.178749999999</v>
      </c>
      <c r="H30" s="146">
        <f>C29*H29</f>
        <v>8877.1072499999991</v>
      </c>
    </row>
    <row r="31" spans="1:8" ht="14.25">
      <c r="A31" s="140">
        <v>11</v>
      </c>
      <c r="B31" s="141" t="s">
        <v>44</v>
      </c>
      <c r="C31" s="142">
        <f>Orçamento!J83</f>
        <v>4342.1125000000002</v>
      </c>
      <c r="D31" s="143">
        <f>C31/$C$41</f>
        <v>2.1557436842344874E-2</v>
      </c>
      <c r="E31" s="144">
        <v>1</v>
      </c>
      <c r="F31" s="143"/>
      <c r="G31" s="145"/>
      <c r="H31" s="143"/>
    </row>
    <row r="32" spans="1:8" ht="14.25">
      <c r="A32" s="140"/>
      <c r="B32" s="139"/>
      <c r="C32" s="142"/>
      <c r="D32" s="143"/>
      <c r="E32" s="146">
        <f>C31*E31</f>
        <v>4342.1125000000002</v>
      </c>
      <c r="F32" s="146"/>
      <c r="G32" s="146"/>
      <c r="H32" s="146"/>
    </row>
    <row r="33" spans="1:8" ht="14.25">
      <c r="A33" s="140">
        <v>12</v>
      </c>
      <c r="B33" s="139" t="str">
        <f>Orçamento!E84</f>
        <v>INSTALAÇÃO DE ESGOTO (ÁREA DE SERVIÇO)</v>
      </c>
      <c r="C33" s="142">
        <f>Orçamento!J97</f>
        <v>7746.15</v>
      </c>
      <c r="D33" s="143">
        <f>C33/$C$41</f>
        <v>3.8457580128642394E-2</v>
      </c>
      <c r="E33" s="144">
        <v>0.5</v>
      </c>
      <c r="F33" s="144">
        <v>0.5</v>
      </c>
      <c r="G33" s="145"/>
      <c r="H33" s="147"/>
    </row>
    <row r="34" spans="1:8" ht="14.25">
      <c r="A34" s="140"/>
      <c r="B34" s="139"/>
      <c r="C34" s="142"/>
      <c r="D34" s="143"/>
      <c r="E34" s="146">
        <f>$C33*E33</f>
        <v>3873.0749999999998</v>
      </c>
      <c r="F34" s="146">
        <f>$C33*F33</f>
        <v>3873.0749999999998</v>
      </c>
      <c r="G34" s="146"/>
      <c r="H34" s="146"/>
    </row>
    <row r="35" spans="1:8" ht="14.25">
      <c r="A35" s="140">
        <v>13</v>
      </c>
      <c r="B35" s="139" t="str">
        <f>Orçamento!E98</f>
        <v>LOUÇAS E ACESSORIOS</v>
      </c>
      <c r="C35" s="142">
        <f>Orçamento!J106</f>
        <v>3053</v>
      </c>
      <c r="D35" s="143">
        <f>C35/$C$41</f>
        <v>1.5157335209458276E-2</v>
      </c>
      <c r="E35" s="146"/>
      <c r="F35" s="146"/>
      <c r="G35" s="144">
        <v>0.5</v>
      </c>
      <c r="H35" s="144">
        <v>0.5</v>
      </c>
    </row>
    <row r="36" spans="1:8" ht="14.25">
      <c r="A36" s="140"/>
      <c r="B36" s="139"/>
      <c r="C36" s="142"/>
      <c r="D36" s="143"/>
      <c r="E36" s="146"/>
      <c r="F36" s="146"/>
      <c r="G36" s="146">
        <f>C35*G35</f>
        <v>1526.5</v>
      </c>
      <c r="H36" s="146">
        <f>C35*H35</f>
        <v>1526.5</v>
      </c>
    </row>
    <row r="37" spans="1:8" ht="14.25">
      <c r="A37" s="140">
        <v>14</v>
      </c>
      <c r="B37" s="139" t="str">
        <f>Orçamento!E107</f>
        <v>INSTALAÇÃO ELETRICA</v>
      </c>
      <c r="C37" s="142">
        <f>Orçamento!J128</f>
        <v>19751.037499999999</v>
      </c>
      <c r="D37" s="143">
        <f>C37/$C$41</f>
        <v>9.8058662339364805E-2</v>
      </c>
      <c r="E37" s="144">
        <v>0.3</v>
      </c>
      <c r="F37" s="144">
        <v>0.2</v>
      </c>
      <c r="G37" s="144">
        <v>0.2</v>
      </c>
      <c r="H37" s="144">
        <v>0.3</v>
      </c>
    </row>
    <row r="38" spans="1:8" ht="14.25">
      <c r="A38" s="140"/>
      <c r="B38" s="139"/>
      <c r="C38" s="142"/>
      <c r="D38" s="143"/>
      <c r="E38" s="146">
        <f>C37*E37</f>
        <v>5925.3112499999997</v>
      </c>
      <c r="F38" s="146">
        <f>C37*F37</f>
        <v>3950.2075</v>
      </c>
      <c r="G38" s="146">
        <f>C37*G37</f>
        <v>3950.2075</v>
      </c>
      <c r="H38" s="146">
        <f>C37*H37</f>
        <v>5925.3112499999997</v>
      </c>
    </row>
    <row r="39" spans="1:8" ht="14.25">
      <c r="A39" s="140">
        <v>15</v>
      </c>
      <c r="B39" s="139" t="str">
        <f>Orçamento!E129</f>
        <v xml:space="preserve">SERVIÇOS COMPLEMENTARIES </v>
      </c>
      <c r="C39" s="142">
        <f>Orçamento!J134</f>
        <v>8705.1015625</v>
      </c>
      <c r="D39" s="143">
        <f>C39/$C$41</f>
        <v>4.3218520280115136E-2</v>
      </c>
      <c r="E39" s="139"/>
      <c r="F39" s="145"/>
      <c r="G39" s="144">
        <v>0.5</v>
      </c>
      <c r="H39" s="144">
        <v>0.5</v>
      </c>
    </row>
    <row r="40" spans="1:8" ht="15" thickBot="1">
      <c r="A40" s="140"/>
      <c r="B40" s="139"/>
      <c r="C40" s="142"/>
      <c r="D40" s="143"/>
      <c r="E40" s="139"/>
      <c r="F40" s="146"/>
      <c r="G40" s="146">
        <f>C39*G39</f>
        <v>4352.55078125</v>
      </c>
      <c r="H40" s="146">
        <f>C39*H39</f>
        <v>4352.55078125</v>
      </c>
    </row>
    <row r="41" spans="1:8" ht="13.5" thickBot="1">
      <c r="A41" s="264" t="s">
        <v>236</v>
      </c>
      <c r="B41" s="265"/>
      <c r="C41" s="148">
        <f>SUM(C11:C40)</f>
        <v>201420.62953749998</v>
      </c>
      <c r="D41" s="149"/>
      <c r="E41" s="150">
        <f>E12+E14+E16+E26+E28+E18+E20+E32+E34+E38</f>
        <v>58912.606449999992</v>
      </c>
      <c r="F41" s="151">
        <f>F16+F18+F24+F30+F20+F28+F34+F38</f>
        <v>47011.908137499995</v>
      </c>
      <c r="G41" s="150">
        <f>G20+G22+G26+G28+G16+G30+G36+G38+G40</f>
        <v>61776.192543749996</v>
      </c>
      <c r="H41" s="151">
        <f>H20+H26+H28+H22+H30+H36+H38+H40</f>
        <v>33719.92240625</v>
      </c>
    </row>
    <row r="42" spans="1:8" ht="15" thickBot="1">
      <c r="A42" s="266" t="s">
        <v>237</v>
      </c>
      <c r="B42" s="267"/>
      <c r="C42" s="267"/>
      <c r="D42" s="268"/>
      <c r="E42" s="152">
        <f>E41/$C$41</f>
        <v>0.29248546479709914</v>
      </c>
      <c r="F42" s="152">
        <f>F41/$C$41</f>
        <v>0.23340165426673656</v>
      </c>
      <c r="G42" s="152">
        <f>G41/$C$41</f>
        <v>0.30670241020296612</v>
      </c>
      <c r="H42" s="152">
        <f>H41/$C$41</f>
        <v>0.1674104707331982</v>
      </c>
    </row>
    <row r="43" spans="1:8" ht="15" thickBot="1">
      <c r="A43" s="266" t="s">
        <v>238</v>
      </c>
      <c r="B43" s="267"/>
      <c r="C43" s="267"/>
      <c r="D43" s="268"/>
      <c r="E43" s="153">
        <f>E41</f>
        <v>58912.606449999992</v>
      </c>
      <c r="F43" s="154">
        <f>F41+E43</f>
        <v>105924.51458749999</v>
      </c>
      <c r="G43" s="153">
        <f>G41+F43</f>
        <v>167700.70713124998</v>
      </c>
      <c r="H43" s="153">
        <f>H41+G43</f>
        <v>201420.62953749998</v>
      </c>
    </row>
    <row r="44" spans="1:8" ht="13.5" thickBot="1">
      <c r="A44" s="266" t="s">
        <v>239</v>
      </c>
      <c r="B44" s="267"/>
      <c r="C44" s="267"/>
      <c r="D44" s="268"/>
      <c r="E44" s="155">
        <f>D44+E42</f>
        <v>0.29248546479709914</v>
      </c>
      <c r="F44" s="155">
        <f>E44+F42</f>
        <v>0.52588711906383567</v>
      </c>
      <c r="G44" s="155">
        <f>F44+G42</f>
        <v>0.83258952926680174</v>
      </c>
      <c r="H44" s="155">
        <f>G44+H42</f>
        <v>1</v>
      </c>
    </row>
    <row r="45" spans="1:8" ht="14.25">
      <c r="C45" s="156"/>
    </row>
    <row r="46" spans="1:8">
      <c r="H46" s="157"/>
    </row>
    <row r="47" spans="1:8" ht="14.25">
      <c r="B47" s="254" t="s">
        <v>88</v>
      </c>
      <c r="C47" s="254"/>
      <c r="D47" s="254"/>
    </row>
    <row r="48" spans="1:8" ht="14.25">
      <c r="B48" s="254" t="s">
        <v>89</v>
      </c>
      <c r="C48" s="254"/>
      <c r="D48" s="254"/>
    </row>
    <row r="49" spans="2:4" ht="14.25">
      <c r="B49" s="254" t="s">
        <v>240</v>
      </c>
      <c r="C49" s="254"/>
      <c r="D49" s="254"/>
    </row>
  </sheetData>
  <mergeCells count="16">
    <mergeCell ref="A44:D44"/>
    <mergeCell ref="B47:D47"/>
    <mergeCell ref="B48:D48"/>
    <mergeCell ref="B49:D49"/>
    <mergeCell ref="A5:D5"/>
    <mergeCell ref="F5:H5"/>
    <mergeCell ref="A6:H7"/>
    <mergeCell ref="A41:B41"/>
    <mergeCell ref="A42:D42"/>
    <mergeCell ref="A43:D43"/>
    <mergeCell ref="A1:H1"/>
    <mergeCell ref="A2:H2"/>
    <mergeCell ref="B3:D3"/>
    <mergeCell ref="F3:H3"/>
    <mergeCell ref="B4:D4"/>
    <mergeCell ref="F4:H4"/>
  </mergeCells>
  <pageMargins left="0.51181102362204722" right="0.51181102362204722" top="0.78740157480314965" bottom="0.78740157480314965" header="0.31496062992125984" footer="0.31496062992125984"/>
  <pageSetup paperSize="9" scale="90" fitToHeight="0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56"/>
  <sheetViews>
    <sheetView topLeftCell="A25" zoomScale="110" zoomScaleNormal="110" zoomScaleSheetLayoutView="110" workbookViewId="0">
      <selection activeCell="K17" sqref="K17"/>
    </sheetView>
  </sheetViews>
  <sheetFormatPr defaultColWidth="8.75" defaultRowHeight="12.75"/>
  <cols>
    <col min="1" max="1" width="3.875" style="159" customWidth="1"/>
    <col min="2" max="2" width="11.25" style="159" customWidth="1"/>
    <col min="3" max="3" width="40.625" style="159" customWidth="1"/>
    <col min="4" max="4" width="18" style="159" customWidth="1"/>
    <col min="5" max="5" width="14.5" style="159" customWidth="1"/>
    <col min="6" max="6" width="14.375" style="159" customWidth="1"/>
    <col min="7" max="7" width="13" style="159" customWidth="1"/>
    <col min="8" max="8" width="4.5" style="159" customWidth="1"/>
    <col min="9" max="10" width="8.75" style="159"/>
    <col min="11" max="11" width="9.125" style="159" bestFit="1" customWidth="1"/>
    <col min="12" max="16384" width="8.75" style="159"/>
  </cols>
  <sheetData>
    <row r="1" spans="2:11" ht="81" customHeight="1">
      <c r="B1" s="272"/>
      <c r="C1" s="272"/>
      <c r="D1" s="272"/>
      <c r="E1" s="272"/>
      <c r="F1" s="272"/>
      <c r="G1" s="272"/>
      <c r="H1" s="158"/>
    </row>
    <row r="2" spans="2:11">
      <c r="B2" s="160" t="str">
        <f>[2]Orçamento!B3</f>
        <v>OBRA:</v>
      </c>
      <c r="C2" s="160" t="str">
        <f>Orçamento!C3</f>
        <v>REFORMA NO PRÉDIO DESTINADO PARA SECRETARIA DE MEIO AMBIENTE (SEMA)</v>
      </c>
      <c r="D2" s="160"/>
      <c r="E2" s="160"/>
      <c r="F2" s="160"/>
      <c r="G2" s="160"/>
    </row>
    <row r="3" spans="2:11">
      <c r="B3" s="160" t="str">
        <f>[2]Orçamento!B4</f>
        <v xml:space="preserve">LOCAL: </v>
      </c>
      <c r="C3" s="160" t="str">
        <f>Orçamento!C4</f>
        <v>RUA HUGO CARLOS SABOI</v>
      </c>
      <c r="D3" s="160"/>
      <c r="E3" s="160"/>
      <c r="F3" s="160"/>
      <c r="G3" s="160"/>
    </row>
    <row r="4" spans="2:11">
      <c r="B4" s="160" t="str">
        <f>Orçamento!B6</f>
        <v>DATA DA OBRA : 18/01/2023</v>
      </c>
      <c r="C4" s="160"/>
      <c r="D4" s="160"/>
      <c r="E4" s="160"/>
      <c r="F4" s="161" t="s">
        <v>55</v>
      </c>
      <c r="G4" s="162">
        <v>0.25</v>
      </c>
    </row>
    <row r="5" spans="2:11">
      <c r="B5" s="160"/>
      <c r="C5" s="160"/>
      <c r="D5" s="160"/>
      <c r="E5" s="160"/>
      <c r="F5" s="161"/>
      <c r="G5" s="162"/>
    </row>
    <row r="7" spans="2:11" ht="27" customHeight="1">
      <c r="B7" s="273" t="s">
        <v>241</v>
      </c>
      <c r="C7" s="274"/>
      <c r="D7" s="274"/>
      <c r="E7" s="274"/>
      <c r="F7" s="274"/>
      <c r="G7" s="274"/>
      <c r="K7" s="207"/>
    </row>
    <row r="8" spans="2:11" ht="27.75" customHeight="1">
      <c r="B8" s="163" t="s">
        <v>242</v>
      </c>
      <c r="C8" s="163" t="s">
        <v>243</v>
      </c>
      <c r="D8" s="163" t="s">
        <v>244</v>
      </c>
      <c r="E8" s="163" t="s">
        <v>245</v>
      </c>
      <c r="F8" s="163" t="s">
        <v>246</v>
      </c>
      <c r="G8" s="163" t="s">
        <v>247</v>
      </c>
    </row>
    <row r="9" spans="2:11" ht="14.25">
      <c r="B9" s="164">
        <v>5</v>
      </c>
      <c r="C9" s="165" t="str">
        <f>'cronograma '!B19</f>
        <v>COBERTURA /FORRO</v>
      </c>
      <c r="D9" s="166">
        <f>'cronograma '!C19</f>
        <v>43644.275000000001</v>
      </c>
      <c r="E9" s="167">
        <f t="shared" ref="E9:E19" si="0">D9/$D$24</f>
        <v>0.21668224898420554</v>
      </c>
      <c r="F9" s="168">
        <f>E9</f>
        <v>0.21668224898420554</v>
      </c>
      <c r="G9" s="164" t="str">
        <f t="shared" ref="G9:G19" si="1">IF(F9&lt;=$E$29,"A",IF(F9&lt;=$E$30,"B","C"))</f>
        <v>A</v>
      </c>
    </row>
    <row r="10" spans="2:11" ht="14.25">
      <c r="B10" s="164">
        <v>10</v>
      </c>
      <c r="C10" s="165" t="str">
        <f>'cronograma '!B29</f>
        <v>PINTURAS E ACABAMENTOS</v>
      </c>
      <c r="D10" s="166">
        <f>'cronograma '!C29</f>
        <v>29590.357499999998</v>
      </c>
      <c r="E10" s="167">
        <f t="shared" si="0"/>
        <v>0.14690827631680567</v>
      </c>
      <c r="F10" s="168">
        <f>E10+F9</f>
        <v>0.36359052530101121</v>
      </c>
      <c r="G10" s="164" t="str">
        <f t="shared" si="1"/>
        <v>A</v>
      </c>
    </row>
    <row r="11" spans="2:11" ht="14.25">
      <c r="B11" s="164">
        <v>9</v>
      </c>
      <c r="C11" s="165" t="str">
        <f>'cronograma '!B27</f>
        <v>SISTEMAS DE PISOS</v>
      </c>
      <c r="D11" s="166">
        <f>'cronograma '!C27</f>
        <v>21962.972375000001</v>
      </c>
      <c r="E11" s="167">
        <f t="shared" si="0"/>
        <v>0.10904033229084406</v>
      </c>
      <c r="F11" s="168">
        <f t="shared" ref="F11:F23" si="2">E11+F10</f>
        <v>0.4726308575918553</v>
      </c>
      <c r="G11" s="164" t="str">
        <f t="shared" si="1"/>
        <v>A</v>
      </c>
    </row>
    <row r="12" spans="2:11" ht="14.25">
      <c r="B12" s="164">
        <v>14</v>
      </c>
      <c r="C12" s="165" t="str">
        <f>'cronograma '!B37</f>
        <v>INSTALAÇÃO ELETRICA</v>
      </c>
      <c r="D12" s="166">
        <f>'cronograma '!C37</f>
        <v>19751.037499999999</v>
      </c>
      <c r="E12" s="167">
        <f t="shared" si="0"/>
        <v>9.8058662339364791E-2</v>
      </c>
      <c r="F12" s="168">
        <f t="shared" si="2"/>
        <v>0.57068951993122008</v>
      </c>
      <c r="G12" s="164" t="str">
        <f t="shared" si="1"/>
        <v>A</v>
      </c>
    </row>
    <row r="13" spans="2:11" ht="14.25">
      <c r="B13" s="164">
        <v>8</v>
      </c>
      <c r="C13" s="165" t="str">
        <f>'cronograma '!B25</f>
        <v>REVESTIMENTOS INTERNO E EXTERNO</v>
      </c>
      <c r="D13" s="166">
        <f>'cronograma '!C25</f>
        <v>15014.324500000001</v>
      </c>
      <c r="E13" s="167">
        <f t="shared" si="0"/>
        <v>7.4542138680013761E-2</v>
      </c>
      <c r="F13" s="168">
        <f t="shared" si="2"/>
        <v>0.64523165861123388</v>
      </c>
      <c r="G13" s="164" t="str">
        <f t="shared" si="1"/>
        <v>A</v>
      </c>
    </row>
    <row r="14" spans="2:11" ht="14.25">
      <c r="B14" s="164">
        <v>6</v>
      </c>
      <c r="C14" s="165" t="str">
        <f>'cronograma '!B21</f>
        <v>ESQUADRIAS</v>
      </c>
      <c r="D14" s="166">
        <f>'cronograma '!C21</f>
        <v>11285.987499999999</v>
      </c>
      <c r="E14" s="167">
        <f t="shared" si="0"/>
        <v>5.6031934394777577E-2</v>
      </c>
      <c r="F14" s="168">
        <f t="shared" si="2"/>
        <v>0.70126359300601149</v>
      </c>
      <c r="G14" s="164" t="str">
        <f t="shared" si="1"/>
        <v>A</v>
      </c>
    </row>
    <row r="15" spans="2:11" ht="14.25">
      <c r="B15" s="164">
        <v>3</v>
      </c>
      <c r="C15" s="165" t="str">
        <f>'cronograma '!B15</f>
        <v>SUPERESTRUTURA</v>
      </c>
      <c r="D15" s="166">
        <f>'cronograma '!C15</f>
        <v>10448.888625</v>
      </c>
      <c r="E15" s="167">
        <f t="shared" si="0"/>
        <v>5.1875960516023764E-2</v>
      </c>
      <c r="F15" s="168">
        <f t="shared" si="2"/>
        <v>0.75313955352203521</v>
      </c>
      <c r="G15" s="164" t="str">
        <f t="shared" si="1"/>
        <v>A</v>
      </c>
    </row>
    <row r="16" spans="2:11" ht="14.25">
      <c r="B16" s="164">
        <v>4</v>
      </c>
      <c r="C16" s="165" t="str">
        <f>'cronograma '!B17</f>
        <v>ALVENARIA DE VEDAÇÃO</v>
      </c>
      <c r="D16" s="166">
        <f>'cronograma '!C17</f>
        <v>8956.3250000000007</v>
      </c>
      <c r="E16" s="167">
        <f t="shared" si="0"/>
        <v>4.4465778011743E-2</v>
      </c>
      <c r="F16" s="168">
        <f t="shared" si="2"/>
        <v>0.79760533153377822</v>
      </c>
      <c r="G16" s="164" t="str">
        <f t="shared" si="1"/>
        <v>A</v>
      </c>
    </row>
    <row r="17" spans="2:7" ht="14.25">
      <c r="B17" s="164">
        <v>2</v>
      </c>
      <c r="C17" s="165" t="str">
        <f>'cronograma '!B13</f>
        <v>FUNDAÇÃO</v>
      </c>
      <c r="D17" s="166">
        <f>'cronograma '!C13</f>
        <v>8747.5154999999995</v>
      </c>
      <c r="E17" s="167">
        <f t="shared" si="0"/>
        <v>4.3429094229751719E-2</v>
      </c>
      <c r="F17" s="168">
        <f t="shared" si="2"/>
        <v>0.84103442576352994</v>
      </c>
      <c r="G17" s="164" t="str">
        <f t="shared" si="1"/>
        <v>B</v>
      </c>
    </row>
    <row r="18" spans="2:7" ht="14.25">
      <c r="B18" s="164">
        <v>15</v>
      </c>
      <c r="C18" s="165" t="str">
        <f>'cronograma '!B39</f>
        <v xml:space="preserve">SERVIÇOS COMPLEMENTARIES </v>
      </c>
      <c r="D18" s="166">
        <f>'cronograma '!C39</f>
        <v>8705.1015625</v>
      </c>
      <c r="E18" s="167">
        <f t="shared" si="0"/>
        <v>4.3218520280115129E-2</v>
      </c>
      <c r="F18" s="168">
        <f t="shared" si="2"/>
        <v>0.88425294604364502</v>
      </c>
      <c r="G18" s="164" t="str">
        <f t="shared" si="1"/>
        <v>B</v>
      </c>
    </row>
    <row r="19" spans="2:7" ht="14.25">
      <c r="B19" s="164">
        <v>12</v>
      </c>
      <c r="C19" s="165" t="str">
        <f>'cronograma '!B33</f>
        <v>INSTALAÇÃO DE ESGOTO (ÁREA DE SERVIÇO)</v>
      </c>
      <c r="D19" s="166">
        <f>'cronograma '!C33</f>
        <v>7746.15</v>
      </c>
      <c r="E19" s="167">
        <f t="shared" si="0"/>
        <v>3.8457580128642387E-2</v>
      </c>
      <c r="F19" s="168">
        <f t="shared" si="2"/>
        <v>0.92271052617228744</v>
      </c>
      <c r="G19" s="164" t="str">
        <f t="shared" si="1"/>
        <v>B</v>
      </c>
    </row>
    <row r="20" spans="2:7" ht="14.25">
      <c r="B20" s="164">
        <v>1</v>
      </c>
      <c r="C20" s="206" t="str">
        <f>'cronograma '!B11</f>
        <v>SERVIÇOS PRELIMINARES</v>
      </c>
      <c r="D20" s="166">
        <f>'cronograma '!C11</f>
        <v>6738.8819750000002</v>
      </c>
      <c r="E20" s="167">
        <f t="shared" ref="E20:E21" si="3">D20/$D$24</f>
        <v>3.3456761556518576E-2</v>
      </c>
      <c r="F20" s="168">
        <f t="shared" si="2"/>
        <v>0.95616728772880599</v>
      </c>
      <c r="G20" s="164" t="str">
        <f t="shared" ref="G20:G22" si="4">IF(F20&lt;=$E$29,"A",IF(F20&lt;=$E$30,"B","C"))</f>
        <v>C</v>
      </c>
    </row>
    <row r="21" spans="2:7" ht="14.25">
      <c r="B21" s="164">
        <v>11</v>
      </c>
      <c r="C21" s="206" t="str">
        <f>'cronograma '!B31</f>
        <v>INSTALAÇÃO HIDRÁULICA</v>
      </c>
      <c r="D21" s="166">
        <f>'cronograma '!C31</f>
        <v>4342.1125000000002</v>
      </c>
      <c r="E21" s="167">
        <f t="shared" si="3"/>
        <v>2.155743684234487E-2</v>
      </c>
      <c r="F21" s="168">
        <f t="shared" si="2"/>
        <v>0.97772472457115089</v>
      </c>
      <c r="G21" s="164" t="str">
        <f t="shared" si="4"/>
        <v>C</v>
      </c>
    </row>
    <row r="22" spans="2:7" ht="14.25">
      <c r="B22" s="164">
        <v>13</v>
      </c>
      <c r="C22" s="165" t="str">
        <f>'cronograma '!B35</f>
        <v>LOUÇAS E ACESSORIOS</v>
      </c>
      <c r="D22" s="166">
        <f>'cronograma '!C35</f>
        <v>3053</v>
      </c>
      <c r="E22" s="167">
        <f>D22/$D$24</f>
        <v>1.5157335209458275E-2</v>
      </c>
      <c r="F22" s="168">
        <f>E22+F19</f>
        <v>0.93786786138174572</v>
      </c>
      <c r="G22" s="164" t="str">
        <f t="shared" si="4"/>
        <v>B</v>
      </c>
    </row>
    <row r="23" spans="2:7" ht="14.25">
      <c r="B23" s="164">
        <v>7</v>
      </c>
      <c r="C23" s="165" t="str">
        <f>'cronograma '!B23</f>
        <v>IMPERMEABILIZAÇÃO</v>
      </c>
      <c r="D23" s="166">
        <f>'cronograma '!C23</f>
        <v>1433.7</v>
      </c>
      <c r="E23" s="167">
        <f>D23/$D$24</f>
        <v>7.1179402193908706E-3</v>
      </c>
      <c r="F23" s="168">
        <f t="shared" si="2"/>
        <v>0.94498580160113654</v>
      </c>
      <c r="G23" s="164" t="str">
        <f>IF(F23&lt;=$E$29,"A",IF(F23&lt;=$E$30,"B","C"))</f>
        <v>B</v>
      </c>
    </row>
    <row r="24" spans="2:7" ht="20.25" customHeight="1">
      <c r="B24" s="275" t="s">
        <v>248</v>
      </c>
      <c r="C24" s="275"/>
      <c r="D24" s="276">
        <f>SUM(D9:D23)</f>
        <v>201420.6295375</v>
      </c>
      <c r="E24" s="277"/>
      <c r="F24" s="277"/>
      <c r="G24" s="278"/>
    </row>
    <row r="28" spans="2:7" ht="25.5">
      <c r="D28" s="163" t="s">
        <v>247</v>
      </c>
      <c r="E28" s="163" t="s">
        <v>249</v>
      </c>
      <c r="F28" s="169" t="s">
        <v>250</v>
      </c>
      <c r="G28" s="169" t="s">
        <v>251</v>
      </c>
    </row>
    <row r="29" spans="2:7">
      <c r="D29" s="170" t="s">
        <v>252</v>
      </c>
      <c r="E29" s="171">
        <v>0.8</v>
      </c>
      <c r="F29" s="172">
        <f>COUNTIF($G$9:$G$23,D29)/COUNTA($G$9:$G$23)</f>
        <v>0.53333333333333333</v>
      </c>
      <c r="G29" s="173">
        <f>SUMIF($G$9:$G$23,D29,$E$9:$E$23)</f>
        <v>0.79760533153377822</v>
      </c>
    </row>
    <row r="30" spans="2:7">
      <c r="D30" s="170" t="s">
        <v>253</v>
      </c>
      <c r="E30" s="171">
        <v>0.95</v>
      </c>
      <c r="F30" s="172">
        <f>COUNTIF($G$9:$G$23,D30)/COUNTA($G$9:$G$23)</f>
        <v>0.33333333333333331</v>
      </c>
      <c r="G30" s="173">
        <f>SUMIF($G$9:$G$23,D30,$E$9:$E$23)</f>
        <v>0.14738047006735841</v>
      </c>
    </row>
    <row r="31" spans="2:7">
      <c r="D31" s="170" t="s">
        <v>254</v>
      </c>
      <c r="E31" s="171">
        <v>1</v>
      </c>
      <c r="F31" s="172">
        <f>COUNTIF($G$9:$G$23,D31)/COUNTA($G$9:$G$23)</f>
        <v>0.13333333333333333</v>
      </c>
      <c r="G31" s="173">
        <f>SUMIF($G$9:$G$23,D31,$E$9:$E$23)</f>
        <v>5.5014198398863443E-2</v>
      </c>
    </row>
    <row r="34" spans="3:6">
      <c r="C34" s="279" t="s">
        <v>255</v>
      </c>
      <c r="D34" s="279"/>
      <c r="E34" s="279"/>
      <c r="F34" s="279"/>
    </row>
    <row r="54" spans="2:4" ht="15.75">
      <c r="B54" s="257" t="s">
        <v>88</v>
      </c>
      <c r="C54" s="257"/>
      <c r="D54" s="257"/>
    </row>
    <row r="55" spans="2:4">
      <c r="B55" s="258" t="s">
        <v>89</v>
      </c>
      <c r="C55" s="258"/>
      <c r="D55" s="258"/>
    </row>
    <row r="56" spans="2:4">
      <c r="B56" s="258" t="s">
        <v>90</v>
      </c>
      <c r="C56" s="258"/>
      <c r="D56" s="258"/>
    </row>
  </sheetData>
  <sortState xmlns:xlrd2="http://schemas.microsoft.com/office/spreadsheetml/2017/richdata2" ref="B9:D23">
    <sortCondition descending="1" ref="D9:D23"/>
  </sortState>
  <mergeCells count="8">
    <mergeCell ref="B55:D55"/>
    <mergeCell ref="B56:D56"/>
    <mergeCell ref="B1:G1"/>
    <mergeCell ref="B7:G7"/>
    <mergeCell ref="B24:C24"/>
    <mergeCell ref="D24:G24"/>
    <mergeCell ref="C34:F34"/>
    <mergeCell ref="B54:D54"/>
  </mergeCells>
  <conditionalFormatting sqref="G9:G23">
    <cfRule type="cellIs" dxfId="2" priority="1" operator="equal">
      <formula>"C"</formula>
    </cfRule>
    <cfRule type="cellIs" dxfId="1" priority="2" operator="equal">
      <formula>"B"</formula>
    </cfRule>
    <cfRule type="cellIs" dxfId="0" priority="3" operator="equal">
      <formula>"A"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I48"/>
  <sheetViews>
    <sheetView tabSelected="1" view="pageBreakPreview" zoomScale="80" zoomScaleNormal="80" zoomScaleSheetLayoutView="80" workbookViewId="0">
      <selection activeCell="M11" sqref="M11"/>
    </sheetView>
  </sheetViews>
  <sheetFormatPr defaultColWidth="8.75" defaultRowHeight="15"/>
  <cols>
    <col min="1" max="1" width="8.75" style="174"/>
    <col min="2" max="2" width="26.25" style="175" customWidth="1"/>
    <col min="3" max="3" width="21.75" style="175" customWidth="1"/>
    <col min="4" max="4" width="14.25" style="175" customWidth="1"/>
    <col min="5" max="5" width="18.25" style="175" customWidth="1"/>
    <col min="6" max="7" width="14.25" style="175" customWidth="1"/>
    <col min="8" max="16384" width="8.75" style="174"/>
  </cols>
  <sheetData>
    <row r="7" spans="1:9" ht="15.75" thickBot="1"/>
    <row r="8" spans="1:9" ht="49.9" customHeight="1" thickBot="1">
      <c r="B8" s="176" t="s">
        <v>54</v>
      </c>
      <c r="C8" s="280" t="str">
        <f>Orçamento!C3</f>
        <v>REFORMA NO PRÉDIO DESTINADO PARA SECRETARIA DE MEIO AMBIENTE (SEMA)</v>
      </c>
      <c r="D8" s="281"/>
      <c r="E8" s="282"/>
      <c r="F8" s="177" t="s">
        <v>57</v>
      </c>
      <c r="G8" s="178">
        <v>0.86899999999999999</v>
      </c>
    </row>
    <row r="9" spans="1:9" ht="40.15" customHeight="1">
      <c r="B9" s="179" t="s">
        <v>56</v>
      </c>
      <c r="C9" s="280" t="str">
        <f>Orçamento!C4</f>
        <v>RUA HUGO CARLOS SABOI</v>
      </c>
      <c r="D9" s="281"/>
      <c r="E9" s="282"/>
      <c r="F9" s="23" t="s">
        <v>58</v>
      </c>
      <c r="G9" s="180">
        <v>0.47889999999999999</v>
      </c>
    </row>
    <row r="10" spans="1:9" s="181" customFormat="1" ht="18.75" thickBot="1">
      <c r="A10" s="174"/>
      <c r="B10" s="175"/>
      <c r="C10" s="175"/>
      <c r="D10" s="175"/>
      <c r="E10" s="175"/>
      <c r="F10" s="175"/>
      <c r="G10" s="175"/>
      <c r="H10" s="174"/>
      <c r="I10" s="174"/>
    </row>
    <row r="11" spans="1:9" s="181" customFormat="1" ht="22.15" customHeight="1" thickBot="1">
      <c r="B11" s="283" t="s">
        <v>256</v>
      </c>
      <c r="C11" s="284"/>
      <c r="D11" s="284"/>
      <c r="E11" s="284"/>
      <c r="F11" s="284"/>
      <c r="G11" s="285"/>
    </row>
    <row r="12" spans="1:9" s="181" customFormat="1" ht="33.6" customHeight="1">
      <c r="B12" s="182" t="s">
        <v>257</v>
      </c>
      <c r="C12" s="183" t="s">
        <v>258</v>
      </c>
      <c r="D12" s="183" t="s">
        <v>259</v>
      </c>
      <c r="E12" s="183" t="s">
        <v>260</v>
      </c>
      <c r="F12" s="286" t="s">
        <v>261</v>
      </c>
      <c r="G12" s="287"/>
    </row>
    <row r="13" spans="1:9" s="181" customFormat="1" ht="18" customHeight="1">
      <c r="B13" s="184" t="s">
        <v>262</v>
      </c>
      <c r="C13" s="185">
        <v>3.9300000000000002E-2</v>
      </c>
      <c r="D13" s="186" t="s">
        <v>263</v>
      </c>
      <c r="E13" s="187" t="s">
        <v>264</v>
      </c>
      <c r="F13" s="187">
        <v>0.03</v>
      </c>
      <c r="G13" s="188">
        <v>5.5E-2</v>
      </c>
    </row>
    <row r="14" spans="1:9" s="181" customFormat="1" ht="19.149999999999999" customHeight="1">
      <c r="B14" s="184" t="s">
        <v>265</v>
      </c>
      <c r="C14" s="185">
        <v>8.5000000000000006E-3</v>
      </c>
      <c r="D14" s="186" t="s">
        <v>266</v>
      </c>
      <c r="E14" s="189" t="s">
        <v>264</v>
      </c>
      <c r="F14" s="189">
        <v>8.0000000000000002E-3</v>
      </c>
      <c r="G14" s="190">
        <v>0.01</v>
      </c>
    </row>
    <row r="15" spans="1:9" s="181" customFormat="1" ht="18">
      <c r="B15" s="184" t="s">
        <v>267</v>
      </c>
      <c r="C15" s="185">
        <v>0.01</v>
      </c>
      <c r="D15" s="186" t="s">
        <v>268</v>
      </c>
      <c r="E15" s="189" t="s">
        <v>264</v>
      </c>
      <c r="F15" s="189">
        <v>9.7000000000000003E-3</v>
      </c>
      <c r="G15" s="188">
        <v>1.2699999999999999E-2</v>
      </c>
    </row>
    <row r="16" spans="1:9" s="181" customFormat="1" ht="18">
      <c r="B16" s="184" t="s">
        <v>269</v>
      </c>
      <c r="C16" s="185">
        <v>6.0000000000000001E-3</v>
      </c>
      <c r="D16" s="186" t="s">
        <v>270</v>
      </c>
      <c r="E16" s="189" t="s">
        <v>264</v>
      </c>
      <c r="F16" s="189">
        <v>5.8999999999999999E-3</v>
      </c>
      <c r="G16" s="188">
        <v>1.3899999999999999E-2</v>
      </c>
    </row>
    <row r="17" spans="2:7" s="181" customFormat="1" ht="18">
      <c r="B17" s="184" t="s">
        <v>271</v>
      </c>
      <c r="C17" s="185">
        <v>7.2999999999999995E-2</v>
      </c>
      <c r="D17" s="186" t="s">
        <v>272</v>
      </c>
      <c r="E17" s="189" t="s">
        <v>264</v>
      </c>
      <c r="F17" s="189">
        <v>6.1600000000000002E-2</v>
      </c>
      <c r="G17" s="188">
        <v>8.9599999999999999E-2</v>
      </c>
    </row>
    <row r="18" spans="2:7" s="181" customFormat="1" ht="18.75" thickBot="1">
      <c r="B18" s="191" t="s">
        <v>273</v>
      </c>
      <c r="C18" s="192">
        <f>SUM(C20:C23)</f>
        <v>8.6500000000000007E-2</v>
      </c>
      <c r="D18" s="193" t="s">
        <v>274</v>
      </c>
      <c r="E18" s="194" t="s">
        <v>264</v>
      </c>
      <c r="F18" s="194"/>
      <c r="G18" s="195"/>
    </row>
    <row r="19" spans="2:7" s="181" customFormat="1" ht="18.75" thickBot="1">
      <c r="B19" s="196"/>
      <c r="C19" s="288" t="s">
        <v>275</v>
      </c>
      <c r="D19" s="289"/>
      <c r="E19" s="290"/>
      <c r="F19" s="291" t="s">
        <v>276</v>
      </c>
      <c r="G19" s="292"/>
    </row>
    <row r="20" spans="2:7" s="181" customFormat="1" ht="18">
      <c r="B20" s="197" t="s">
        <v>277</v>
      </c>
      <c r="C20" s="198">
        <v>0.03</v>
      </c>
      <c r="D20" s="196"/>
      <c r="E20" s="196"/>
      <c r="F20" s="196"/>
      <c r="G20" s="196"/>
    </row>
    <row r="21" spans="2:7" s="181" customFormat="1" ht="18">
      <c r="B21" s="199" t="s">
        <v>278</v>
      </c>
      <c r="C21" s="200">
        <v>6.4999999999999997E-3</v>
      </c>
      <c r="D21" s="196"/>
      <c r="E21" s="196"/>
      <c r="F21" s="196"/>
      <c r="G21" s="196"/>
    </row>
    <row r="22" spans="2:7" s="181" customFormat="1" ht="18">
      <c r="B22" s="199" t="s">
        <v>279</v>
      </c>
      <c r="C22" s="200">
        <v>0.03</v>
      </c>
      <c r="D22" s="196"/>
      <c r="E22" s="196"/>
      <c r="F22" s="196"/>
      <c r="G22" s="196"/>
    </row>
    <row r="23" spans="2:7" s="181" customFormat="1" ht="18.75" thickBot="1">
      <c r="B23" s="201" t="s">
        <v>280</v>
      </c>
      <c r="C23" s="202">
        <v>0.02</v>
      </c>
      <c r="D23" s="196"/>
      <c r="E23" s="196"/>
      <c r="F23" s="196"/>
      <c r="G23" s="196"/>
    </row>
    <row r="24" spans="2:7" s="181" customFormat="1" ht="18.75" thickBot="1">
      <c r="B24" s="196"/>
      <c r="C24" s="196"/>
      <c r="D24" s="196"/>
      <c r="E24" s="196"/>
      <c r="F24" s="196"/>
      <c r="G24" s="196"/>
    </row>
    <row r="25" spans="2:7" s="181" customFormat="1" ht="18.75" thickBot="1">
      <c r="B25" s="203" t="s">
        <v>281</v>
      </c>
      <c r="C25" s="204">
        <f>(((1+(C13+C14+C15))*(1+C16)*(1+C17))/(1-C18))-1</f>
        <v>0.24995020952380953</v>
      </c>
      <c r="D25" s="196"/>
      <c r="E25" s="196"/>
      <c r="F25" s="196"/>
      <c r="G25" s="196"/>
    </row>
    <row r="26" spans="2:7" s="181" customFormat="1" ht="18">
      <c r="B26" s="196"/>
      <c r="C26" s="196"/>
      <c r="D26" s="196"/>
      <c r="E26" s="196"/>
      <c r="F26" s="196"/>
      <c r="G26" s="196"/>
    </row>
    <row r="27" spans="2:7" s="181" customFormat="1" ht="18">
      <c r="B27" s="196"/>
      <c r="C27" s="196"/>
      <c r="D27" s="196"/>
      <c r="E27" s="196"/>
      <c r="F27" s="196"/>
      <c r="G27" s="196"/>
    </row>
    <row r="28" spans="2:7" s="181" customFormat="1" ht="18">
      <c r="B28" s="196"/>
      <c r="C28" s="196"/>
      <c r="D28" s="196"/>
      <c r="E28" s="196"/>
      <c r="F28" s="196"/>
      <c r="G28" s="196"/>
    </row>
    <row r="29" spans="2:7" s="181" customFormat="1" ht="18">
      <c r="B29" s="196"/>
      <c r="C29" s="196"/>
      <c r="D29" s="196"/>
      <c r="E29" s="196"/>
      <c r="F29" s="196"/>
      <c r="G29" s="196"/>
    </row>
    <row r="30" spans="2:7" s="181" customFormat="1" ht="18">
      <c r="B30" s="196"/>
      <c r="C30" s="196"/>
      <c r="D30" s="196"/>
      <c r="E30" s="196"/>
      <c r="F30" s="196"/>
      <c r="G30" s="196"/>
    </row>
    <row r="31" spans="2:7" s="181" customFormat="1" ht="18">
      <c r="B31" s="196"/>
      <c r="C31" s="196"/>
      <c r="D31" s="196"/>
      <c r="E31" s="196"/>
      <c r="F31" s="196"/>
      <c r="G31" s="196"/>
    </row>
    <row r="32" spans="2:7" s="181" customFormat="1" ht="18">
      <c r="B32" s="196"/>
      <c r="C32" s="196"/>
      <c r="D32" s="196"/>
      <c r="E32" s="196"/>
      <c r="F32" s="196"/>
      <c r="G32" s="196"/>
    </row>
    <row r="33" spans="1:9" s="181" customFormat="1" ht="18">
      <c r="B33" s="196"/>
      <c r="C33" s="196"/>
      <c r="D33" s="196"/>
      <c r="E33" s="196"/>
      <c r="F33" s="196"/>
      <c r="G33" s="196"/>
    </row>
    <row r="34" spans="1:9" s="181" customFormat="1" ht="18">
      <c r="B34" s="196"/>
      <c r="C34" s="196"/>
      <c r="D34" s="196"/>
      <c r="E34" s="196"/>
      <c r="F34" s="196"/>
      <c r="G34" s="196"/>
    </row>
    <row r="35" spans="1:9" s="181" customFormat="1" ht="18">
      <c r="B35" s="196"/>
      <c r="C35" s="196"/>
      <c r="D35" s="196"/>
      <c r="E35" s="196"/>
      <c r="F35" s="196"/>
      <c r="G35" s="196"/>
    </row>
    <row r="36" spans="1:9" s="181" customFormat="1" ht="18">
      <c r="B36" s="196"/>
      <c r="C36" s="196"/>
      <c r="D36" s="196"/>
      <c r="E36" s="196"/>
      <c r="F36" s="196"/>
      <c r="G36" s="196"/>
    </row>
    <row r="37" spans="1:9" s="181" customFormat="1" ht="18">
      <c r="B37" s="196"/>
      <c r="C37" s="196"/>
      <c r="D37" s="196"/>
      <c r="E37" s="196"/>
      <c r="F37" s="196"/>
      <c r="G37" s="196"/>
    </row>
    <row r="38" spans="1:9" s="181" customFormat="1" ht="18">
      <c r="B38" s="196"/>
      <c r="C38" s="196"/>
      <c r="D38" s="196"/>
      <c r="E38" s="196"/>
      <c r="F38" s="196"/>
      <c r="G38" s="196"/>
    </row>
    <row r="39" spans="1:9" ht="18">
      <c r="A39" s="181"/>
      <c r="B39" s="196"/>
      <c r="C39" s="196"/>
      <c r="D39" s="196"/>
      <c r="E39" s="196"/>
      <c r="F39" s="196"/>
      <c r="G39" s="196"/>
      <c r="H39" s="181"/>
      <c r="I39" s="181"/>
    </row>
    <row r="40" spans="1:9" ht="18">
      <c r="A40" s="181"/>
      <c r="B40" s="196"/>
      <c r="C40" s="196"/>
      <c r="D40" s="196"/>
      <c r="E40" s="196"/>
      <c r="F40" s="196"/>
      <c r="G40" s="196"/>
      <c r="H40" s="181"/>
      <c r="I40" s="181"/>
    </row>
    <row r="46" spans="1:9" ht="15.75">
      <c r="B46" s="205" t="str">
        <f>'[3]cronograma '!B37:D37</f>
        <v>Elias André Gomes Pinheiro</v>
      </c>
    </row>
    <row r="47" spans="1:9" ht="15.75">
      <c r="B47" s="205" t="s">
        <v>282</v>
      </c>
    </row>
    <row r="48" spans="1:9" ht="15.75">
      <c r="B48" s="205" t="str">
        <f>'[3]cronograma '!B39:D39</f>
        <v>CREA-PA: 1519607807</v>
      </c>
    </row>
  </sheetData>
  <mergeCells count="6">
    <mergeCell ref="C8:E8"/>
    <mergeCell ref="C9:E9"/>
    <mergeCell ref="B11:G11"/>
    <mergeCell ref="F12:G12"/>
    <mergeCell ref="C19:E19"/>
    <mergeCell ref="F19:G19"/>
  </mergeCells>
  <pageMargins left="0.511811024" right="0.511811024" top="0.78740157499999996" bottom="0.78740157499999996" header="0.31496062000000002" footer="0.31496062000000002"/>
  <pageSetup paperSize="9" scale="62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Orçamento</vt:lpstr>
      <vt:lpstr>cronograma </vt:lpstr>
      <vt:lpstr>CURVA ABC</vt:lpstr>
      <vt:lpstr>BDI</vt:lpstr>
      <vt:lpstr>BDI!Area_de_impressao</vt:lpstr>
      <vt:lpstr>'cronograma '!Area_de_impressao</vt:lpstr>
      <vt:lpstr>'CURVA ABC'!Area_de_impressao</vt:lpstr>
      <vt:lpstr>Orçamento!Area_de_impressao</vt:lpstr>
      <vt:lpstr>Orçamento!Titulos_de_impressao</vt:lpstr>
    </vt:vector>
  </TitlesOfParts>
  <Company>Fnde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MEU PC</cp:lastModifiedBy>
  <cp:lastPrinted>2023-01-18T19:35:32Z</cp:lastPrinted>
  <dcterms:created xsi:type="dcterms:W3CDTF">2012-10-15T18:57:41Z</dcterms:created>
  <dcterms:modified xsi:type="dcterms:W3CDTF">2023-03-03T13:24:08Z</dcterms:modified>
</cp:coreProperties>
</file>